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lEXJNsZFLS79AlTVKxGD3BGVJnHt4MCuvxB/WQQnAwaOVdQu2B5lSPrTqUoxWRVUTmjMU9qXbhGyAlyF62Fdjg==" workbookSaltValue="/YpTfUNSqejehnnae+g77Q==" workbookSpinCount="100000" lockStructure="1"/>
  <bookViews>
    <workbookView xWindow="0" yWindow="0" windowWidth="20490" windowHeight="8340" tabRatio="658"/>
  </bookViews>
  <sheets>
    <sheet name="دستمزد 1400" sheetId="5" r:id="rId1"/>
    <sheet name="جدول محاسبات" sheetId="7" state="veryHidden" r:id="rId2"/>
    <sheet name="Sheet2" sheetId="6" state="veryHidden" r:id="rId3"/>
    <sheet name="ورود اطلاعات (2)" sheetId="10" state="veryHidden" r:id="rId4"/>
  </sheets>
  <definedNames>
    <definedName name="_xlnm.Print_Area" localSheetId="1">'جدول محاسبات'!$B$1:$G$40</definedName>
    <definedName name="_xlnm.Print_Area" localSheetId="0">'دستمزد 1400'!$B$1:$G$31</definedName>
    <definedName name="_xlnm.Print_Area" localSheetId="3">'ورود اطلاعات (2)'!$B$1:$G$28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5" l="1"/>
  <c r="G22" i="5" s="1"/>
  <c r="G16" i="5"/>
  <c r="F16" i="5"/>
  <c r="F23" i="5"/>
  <c r="AR14" i="7"/>
  <c r="AQ16" i="7"/>
  <c r="AR3" i="7"/>
  <c r="G14" i="5" l="1"/>
  <c r="F26" i="5"/>
  <c r="G23" i="5"/>
  <c r="G26" i="5" s="1"/>
  <c r="I4" i="7"/>
  <c r="G15" i="5" l="1"/>
  <c r="G19" i="5" s="1"/>
  <c r="AN26" i="7"/>
  <c r="AO26" i="7" l="1"/>
  <c r="AO28" i="7" s="1"/>
  <c r="F15" i="5"/>
  <c r="AQ14" i="7"/>
  <c r="AN25" i="7" l="1"/>
  <c r="AO25" i="7" s="1"/>
  <c r="F14" i="5" s="1"/>
  <c r="F19" i="5" s="1"/>
  <c r="AL26" i="7"/>
  <c r="AL25" i="7"/>
  <c r="AJ26" i="7"/>
  <c r="AJ25" i="7"/>
  <c r="AK25" i="7" s="1"/>
  <c r="AQ11" i="7" l="1"/>
  <c r="AM26" i="7" l="1"/>
  <c r="AM25" i="7"/>
  <c r="AK26" i="7"/>
  <c r="AR11" i="7" l="1"/>
  <c r="AR13" i="7"/>
  <c r="AQ13" i="7"/>
  <c r="AE2" i="7"/>
  <c r="AF23" i="7"/>
  <c r="AF22" i="7"/>
  <c r="AF21" i="7"/>
  <c r="AF20" i="7"/>
  <c r="AF19" i="7"/>
  <c r="AF18" i="7"/>
  <c r="AF17" i="7"/>
  <c r="AF16" i="7"/>
  <c r="AF15" i="7"/>
  <c r="AF14" i="7"/>
  <c r="AF13" i="7"/>
  <c r="AF12" i="7"/>
  <c r="AF11" i="7"/>
  <c r="AF10" i="7"/>
  <c r="AF9" i="7"/>
  <c r="AF8" i="7"/>
  <c r="AF7" i="7"/>
  <c r="AF6" i="7"/>
  <c r="AF5" i="7"/>
  <c r="AF4" i="7"/>
  <c r="AF2" i="7" s="1"/>
  <c r="Z6" i="7"/>
  <c r="AA6" i="7" s="1"/>
  <c r="Z7" i="7"/>
  <c r="AA7" i="7" s="1"/>
  <c r="Z8" i="7"/>
  <c r="AA8" i="7" s="1"/>
  <c r="Z9" i="7"/>
  <c r="AA9" i="7" s="1"/>
  <c r="Z10" i="7"/>
  <c r="AA10" i="7" s="1"/>
  <c r="Z11" i="7"/>
  <c r="AA11" i="7" s="1"/>
  <c r="Z12" i="7"/>
  <c r="AA12" i="7" s="1"/>
  <c r="Z13" i="7"/>
  <c r="AA13" i="7" s="1"/>
  <c r="Z14" i="7"/>
  <c r="AA14" i="7" s="1"/>
  <c r="Z15" i="7"/>
  <c r="AA15" i="7" s="1"/>
  <c r="Z16" i="7"/>
  <c r="AA16" i="7" s="1"/>
  <c r="Z17" i="7"/>
  <c r="AA17" i="7" s="1"/>
  <c r="Z18" i="7"/>
  <c r="AA18" i="7" s="1"/>
  <c r="Z19" i="7"/>
  <c r="AA19" i="7" s="1"/>
  <c r="Z20" i="7"/>
  <c r="AA20" i="7" s="1"/>
  <c r="Z21" i="7"/>
  <c r="AA21" i="7" s="1"/>
  <c r="Z22" i="7"/>
  <c r="AA22" i="7" s="1"/>
  <c r="Z23" i="7"/>
  <c r="AA23" i="7" s="1"/>
  <c r="Z5" i="7"/>
  <c r="AA5" i="7" s="1"/>
  <c r="Z4" i="7"/>
  <c r="AA4" i="7" s="1"/>
  <c r="AA2" i="7" s="1"/>
  <c r="AF27" i="6" l="1"/>
  <c r="AF26" i="6"/>
  <c r="AI25" i="6"/>
  <c r="AH25" i="6"/>
  <c r="AI24" i="6"/>
  <c r="AH24" i="6"/>
  <c r="AI23" i="6"/>
  <c r="AH23" i="6"/>
  <c r="AI22" i="6"/>
  <c r="AH22" i="6"/>
  <c r="AI21" i="6"/>
  <c r="AH21" i="6"/>
  <c r="AI20" i="6"/>
  <c r="AH20" i="6"/>
  <c r="AH26" i="6" l="1"/>
  <c r="AI26" i="6"/>
  <c r="AG26" i="6" l="1"/>
  <c r="AH28" i="6" s="1"/>
  <c r="H71" i="6" l="1"/>
  <c r="H65" i="6"/>
  <c r="H72" i="6"/>
  <c r="K48" i="10" l="1"/>
  <c r="Q7" i="10" l="1"/>
  <c r="Q6" i="10"/>
  <c r="AC8" i="10"/>
  <c r="D8" i="10"/>
  <c r="AC6" i="10"/>
  <c r="AC5" i="10"/>
  <c r="AC4" i="10"/>
  <c r="AC3" i="10"/>
  <c r="Z3" i="10"/>
  <c r="AC2" i="10"/>
  <c r="Z2" i="10"/>
  <c r="AC1" i="10"/>
  <c r="Z1" i="10"/>
  <c r="AC7" i="10" l="1"/>
  <c r="AD7" i="10" s="1"/>
  <c r="AD8" i="10"/>
  <c r="Z4" i="10"/>
  <c r="AC9" i="10" s="1"/>
  <c r="AC10" i="10" l="1"/>
  <c r="AC11" i="10" s="1"/>
  <c r="AD9" i="10"/>
  <c r="AD10" i="10" s="1"/>
  <c r="AD11" i="10" s="1"/>
  <c r="K11" i="10" l="1"/>
  <c r="Q8" i="10" s="1"/>
  <c r="R7" i="10" s="1"/>
  <c r="Q9" i="10" s="1"/>
  <c r="K12" i="10" s="1"/>
  <c r="G57" i="6" l="1"/>
  <c r="H57" i="6" s="1"/>
  <c r="R6" i="10"/>
  <c r="G55" i="6" l="1"/>
  <c r="G66" i="6"/>
  <c r="H66" i="6" s="1"/>
  <c r="G56" i="6"/>
  <c r="H56" i="6" s="1"/>
  <c r="H55" i="6" l="1"/>
  <c r="G58" i="6"/>
  <c r="AG39" i="6"/>
  <c r="H58" i="6" l="1"/>
  <c r="AA5" i="6"/>
  <c r="AC5" i="6"/>
  <c r="AA6" i="6"/>
  <c r="AC6" i="6"/>
  <c r="AA7" i="6"/>
  <c r="AC7" i="6"/>
  <c r="AA8" i="6"/>
  <c r="AC8" i="6"/>
  <c r="AA9" i="6"/>
  <c r="AC9" i="6"/>
  <c r="AA10" i="6"/>
  <c r="AC10" i="6"/>
  <c r="AC12" i="6"/>
  <c r="Z23" i="6"/>
  <c r="Z24" i="6"/>
  <c r="Z25" i="6"/>
  <c r="Z26" i="6"/>
  <c r="Z27" i="6"/>
  <c r="Z28" i="6"/>
  <c r="Z29" i="6"/>
  <c r="Z30" i="6"/>
  <c r="Z31" i="6"/>
  <c r="Z32" i="6"/>
  <c r="Z33" i="6"/>
  <c r="Z34" i="6"/>
  <c r="Z35" i="6"/>
  <c r="Z36" i="6"/>
  <c r="Z37" i="6"/>
  <c r="Z38" i="6"/>
  <c r="Z39" i="6"/>
  <c r="Z40" i="6"/>
  <c r="AG40" i="6"/>
  <c r="AL40" i="6" s="1"/>
  <c r="Z41" i="6"/>
  <c r="AB41" i="6"/>
  <c r="AD41" i="6" s="1"/>
  <c r="AG41" i="6"/>
  <c r="AI41" i="6" s="1"/>
  <c r="Z42" i="6"/>
  <c r="AG42" i="6"/>
  <c r="AL42" i="6" s="1"/>
  <c r="Z43" i="6"/>
  <c r="AG43" i="6"/>
  <c r="G74" i="6"/>
  <c r="H74" i="6" s="1"/>
  <c r="G73" i="6"/>
  <c r="H73" i="6" s="1"/>
  <c r="G70" i="6"/>
  <c r="H70" i="6" s="1"/>
  <c r="G69" i="6"/>
  <c r="H69" i="6" s="1"/>
  <c r="G68" i="6"/>
  <c r="H68" i="6" s="1"/>
  <c r="G67" i="6"/>
  <c r="H67" i="6" s="1"/>
  <c r="G64" i="6"/>
  <c r="H64" i="6" s="1"/>
  <c r="G60" i="6"/>
  <c r="H60" i="6" s="1"/>
  <c r="H59" i="6"/>
  <c r="G76" i="6" l="1"/>
  <c r="I38" i="6"/>
  <c r="I39" i="6"/>
  <c r="AN43" i="6"/>
  <c r="AA11" i="6"/>
  <c r="AN39" i="6" s="1"/>
  <c r="AB11" i="6"/>
  <c r="AC11" i="6" s="1"/>
  <c r="AC13" i="6" s="1"/>
  <c r="Z44" i="6"/>
  <c r="AA44" i="6" s="1"/>
  <c r="AA42" i="6" s="1"/>
  <c r="AB42" i="6" s="1"/>
  <c r="AD42" i="6" s="1"/>
  <c r="AL43" i="6"/>
  <c r="AG44" i="6"/>
  <c r="AN41" i="6"/>
  <c r="AL41" i="6"/>
  <c r="AL39" i="6"/>
  <c r="AN42" i="6"/>
  <c r="AJ41" i="6"/>
  <c r="AN40" i="6"/>
  <c r="K51" i="10" l="1"/>
  <c r="K52" i="10" s="1"/>
  <c r="K50" i="10" s="1"/>
  <c r="K49" i="10" s="1"/>
  <c r="AA41" i="6"/>
  <c r="AB40" i="6" s="1"/>
  <c r="AD40" i="6" s="1"/>
  <c r="AL44" i="6"/>
  <c r="AA43" i="6"/>
  <c r="AB43" i="6" s="1"/>
  <c r="AD43" i="6" s="1"/>
  <c r="AN44" i="6"/>
  <c r="AA40" i="6"/>
  <c r="AD44" i="6" l="1"/>
  <c r="AI39" i="6" s="1"/>
  <c r="AI42" i="6" l="1"/>
  <c r="AJ42" i="6"/>
  <c r="AJ40" i="6"/>
  <c r="AI40" i="6"/>
  <c r="AJ39" i="6"/>
  <c r="AI43" i="6" l="1"/>
  <c r="AJ44" i="6" s="1"/>
  <c r="AJ43" i="6"/>
  <c r="I36" i="6" l="1"/>
  <c r="I33" i="6" s="1"/>
  <c r="H61" i="6" s="1"/>
  <c r="I34" i="6"/>
  <c r="AQ42" i="6" l="1"/>
  <c r="AQ38" i="6"/>
  <c r="I32" i="6" l="1"/>
  <c r="I31" i="6"/>
  <c r="H63" i="6" l="1"/>
  <c r="H62" i="6"/>
  <c r="H75" i="6" l="1"/>
  <c r="H76" i="6" s="1"/>
  <c r="AQ44" i="6" l="1"/>
  <c r="G24" i="5" l="1"/>
  <c r="G25" i="5" l="1"/>
</calcChain>
</file>

<file path=xl/comments1.xml><?xml version="1.0" encoding="utf-8"?>
<comments xmlns="http://schemas.openxmlformats.org/spreadsheetml/2006/main">
  <authors>
    <author>Author</author>
  </authors>
  <commentList>
    <comment ref="B709" authorId="0" shapeId="0">
      <text>
        <r>
          <rPr>
            <b/>
            <sz val="10"/>
            <color indexed="81"/>
            <rFont val="B Nazanin"/>
            <charset val="178"/>
          </rPr>
          <t>در صورتی که تا قبل از سال ۹۸ بیش از 1000 ساعت آموزش ضمن خدمت داشته اید عدد صفر را وارد نمایید در غیر این صورت میزان ساعات آموزش سال 98 خود را وارد نمایید.</t>
        </r>
      </text>
    </comment>
    <comment ref="B710" authorId="0" shapeId="0">
      <text>
        <r>
          <rPr>
            <b/>
            <sz val="10"/>
            <color indexed="81"/>
            <rFont val="B Nazanin"/>
            <charset val="178"/>
          </rPr>
          <t>در صورتی پست شما مدیریتی بوده و بیش از 10 سال سابقه مدیریت (رپیس اداره و بالاتر) را دارید گزینه کارشناس را انتخاب نمایید.</t>
        </r>
      </text>
    </comment>
    <comment ref="B711" authorId="0" shapeId="0">
      <text>
        <r>
          <rPr>
            <b/>
            <sz val="10"/>
            <color indexed="81"/>
            <rFont val="B Nazanin"/>
            <charset val="178"/>
          </rPr>
          <t>در صورتی که سازمان شما مشمول افزایش امتیازات فصل دهم قانون مدیریت خدمات کشوری شده است، درصد افزایش امتیازات را وارد نمایید.</t>
        </r>
      </text>
    </comment>
    <comment ref="B717" authorId="0" shapeId="0">
      <text>
        <r>
          <rPr>
            <b/>
            <sz val="9"/>
            <color indexed="81"/>
            <rFont val="B Nazanin"/>
            <charset val="178"/>
          </rPr>
          <t>ماده ۷۱- سمتهای ذیل مدیریت سیاسی محسوب شده و به عنوان مقام شناخته می‌شوند:
الف - رؤسای سه قوه 
ب - معاون اول رئیس جمهور، نواب رئیس مجلس شورای اسلامی و اعضاء شورای نگهبان 
ج - وزراء، نمایندگان مجلس شورای اسلامی و معاونین رئیس جمهور 
د- استانداران و سفراء 
هـ- معاونین وزراء</t>
        </r>
      </text>
    </comment>
  </commentList>
</comments>
</file>

<file path=xl/comments2.xml><?xml version="1.0" encoding="utf-8"?>
<comments xmlns="http://schemas.openxmlformats.org/spreadsheetml/2006/main">
  <authors>
    <author>Author</author>
  </authors>
  <commentList>
    <comment ref="D3" authorId="0" shapeId="0">
      <text>
        <r>
          <rPr>
            <b/>
            <sz val="9"/>
            <color indexed="81"/>
            <rFont val="Tahoma"/>
            <family val="2"/>
          </rPr>
          <t>در صورتی که مشمول طرح طبقه بندی نمی باشید عدد یک (۱) را وارد نمایید</t>
        </r>
      </text>
    </comment>
  </commentList>
</comments>
</file>

<file path=xl/sharedStrings.xml><?xml version="1.0" encoding="utf-8"?>
<sst xmlns="http://schemas.openxmlformats.org/spreadsheetml/2006/main" count="229" uniqueCount="177">
  <si>
    <t>امتیاز</t>
  </si>
  <si>
    <t>مبلغ (ریال)</t>
  </si>
  <si>
    <t>حق شغل</t>
  </si>
  <si>
    <t>فوق العاده مدیریت</t>
  </si>
  <si>
    <t>حق شاغل</t>
  </si>
  <si>
    <t>جمع</t>
  </si>
  <si>
    <t>تفاوت تطبیق</t>
  </si>
  <si>
    <t>سایر</t>
  </si>
  <si>
    <t>بلی</t>
  </si>
  <si>
    <t>خیر</t>
  </si>
  <si>
    <t>حقوق و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</si>
  <si>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</si>
  <si>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</si>
  <si>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</si>
  <si>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</si>
  <si>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</si>
  <si>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</si>
  <si>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</si>
  <si>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</si>
  <si>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فوق العاده ویژه</t>
  </si>
  <si>
    <t>فوق العاده بدی آب و هوا</t>
  </si>
  <si>
    <t>فوق العاده مناطق کمتر توسعه یافته</t>
  </si>
  <si>
    <t>مدرک تحصیلی</t>
  </si>
  <si>
    <t>دیپلم</t>
  </si>
  <si>
    <t>فوق دیپلم</t>
  </si>
  <si>
    <t>لیسانس</t>
  </si>
  <si>
    <t>زیر دیپلم</t>
  </si>
  <si>
    <t>طبقه</t>
  </si>
  <si>
    <t>رتبه</t>
  </si>
  <si>
    <t>مقدماتی</t>
  </si>
  <si>
    <t>پایه</t>
  </si>
  <si>
    <t>ارشد</t>
  </si>
  <si>
    <t>خبره</t>
  </si>
  <si>
    <t>عالی</t>
  </si>
  <si>
    <t>فوق لیسانس</t>
  </si>
  <si>
    <t>دکتری</t>
  </si>
  <si>
    <t>تحصیلات</t>
  </si>
  <si>
    <t xml:space="preserve">طبقه </t>
  </si>
  <si>
    <t>حق شغل کارمند</t>
  </si>
  <si>
    <t>رتبه بندی فرهنگیان</t>
  </si>
  <si>
    <t>حق شغل فرهنگیان</t>
  </si>
  <si>
    <t>سایر اطلاعات</t>
  </si>
  <si>
    <t>امتیاز تحصیلات و مهارت</t>
  </si>
  <si>
    <t>ابتدایی</t>
  </si>
  <si>
    <t>متوسطه</t>
  </si>
  <si>
    <t>در چه مقطعی تدریس می کنید؟</t>
  </si>
  <si>
    <t>سنوات خدمت قابل قبول (سال)</t>
  </si>
  <si>
    <t>امتیاز سنوات و تجربه</t>
  </si>
  <si>
    <t>سنوات خدمت قابل قبول (ماه)</t>
  </si>
  <si>
    <t>کل ساعات آموزش ضمن خدمت مورد تایید</t>
  </si>
  <si>
    <t>امتیاز آموزش</t>
  </si>
  <si>
    <t>جمع امتیازات سنوات، تجربه و آموزش</t>
  </si>
  <si>
    <t>امتیاز مکتسبه</t>
  </si>
  <si>
    <t>مهارت و تحصیلات</t>
  </si>
  <si>
    <t>حقوق ثابت 98</t>
  </si>
  <si>
    <t>درصد کمتر توسعه یافته</t>
  </si>
  <si>
    <t>درصد بدی آب و هوا</t>
  </si>
  <si>
    <t>حقوق ثابت رتبه</t>
  </si>
  <si>
    <t>حقوق ثابت نهایی</t>
  </si>
  <si>
    <t>نمره ارزشیابی کسب شده در سال تحصیلی 98-97</t>
  </si>
  <si>
    <t>نمره ارزشیابی کسب شده در سال تحصیلی 97-96</t>
  </si>
  <si>
    <t>جدول زیر ویژه آن دسته از معلمانی است که رتبه شغلی شان مقدماتی می باشد.</t>
  </si>
  <si>
    <t>جدول زیر ویژه آن دسته از معلمانی است که 6 ساعت تدریس هفتگی اضافی
داشته و مشمول دریافت فوق العاده ویژه می باشند.</t>
  </si>
  <si>
    <t>جدول زیر مربوط به مشمولین ماده ۵۱ قانون جامع خدمات رسانی با ایثارگران است.</t>
  </si>
  <si>
    <t>مشمول فوق العاده ماده ۵۱  قانون جامع ایثارگران هستید؟</t>
  </si>
  <si>
    <t>تفاوت بند (ی) و تفاوت جزء (1) بند (الف) نیز مشمول افزایش امتیاز باشند؟</t>
  </si>
  <si>
    <t>شمول یا عدم شمول بندهای جدول ذیل در فصل دهم قانون مدیریت خدمات کشوری</t>
  </si>
  <si>
    <t>درصد فوق العاده ویژه</t>
  </si>
  <si>
    <t>جمع ایتمهای مشمول فوق العاده ویژه</t>
  </si>
  <si>
    <t>رند بند ی</t>
  </si>
  <si>
    <t>رند جز ۱ بند الف</t>
  </si>
  <si>
    <t>نوبت کاری</t>
  </si>
  <si>
    <t>درصد نوبت کاری</t>
  </si>
  <si>
    <t>درصد افزایش امتیازات (از ۱ تا ۵۰ عددی وارد نمایید)</t>
  </si>
  <si>
    <t>درصد مورد انتظار افزایش امتیازات در دستگاه محل خدمت  شما</t>
  </si>
  <si>
    <t>ضریب حقوق سال ۹۸</t>
  </si>
  <si>
    <t>ضریب حقوق سال ۹۹</t>
  </si>
  <si>
    <t>حداقل حقوق سال ۹۸</t>
  </si>
  <si>
    <t>حداقل حقوق سال ۹۹</t>
  </si>
  <si>
    <t>ضریب تعدیل سال ۹۹</t>
  </si>
  <si>
    <t>محاسبه حقوق و مزایای کارکنان دولت در سال ۹۸</t>
  </si>
  <si>
    <t>کارشناس</t>
  </si>
  <si>
    <t>به استناد تصویب نامه شماره 8724/ت56485ه مورخ 98/01/31 هیات محترم وزیران</t>
  </si>
  <si>
    <t>توسعه یافته</t>
  </si>
  <si>
    <t>بدی آب و هوا</t>
  </si>
  <si>
    <t>ویژه</t>
  </si>
  <si>
    <t>رئیس اداره</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</si>
  <si>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</si>
  <si>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مدیر</t>
  </si>
  <si>
    <t>ضریب حقوق سال 98 (ریال)</t>
  </si>
  <si>
    <t>مشمول ماده ۵۱ قانون جامع ایثارگران</t>
  </si>
  <si>
    <t>فوق لیسانس و دکتری حرفه ای</t>
  </si>
  <si>
    <t>75 شغل</t>
  </si>
  <si>
    <t>دکتری تخصصی PHD</t>
  </si>
  <si>
    <t>سایر فوق العاده ها</t>
  </si>
  <si>
    <t>75 شغل و مدیریت</t>
  </si>
  <si>
    <t>شاغل اولیه 98</t>
  </si>
  <si>
    <t>آموزش</t>
  </si>
  <si>
    <t>جمع شاغل سال 98</t>
  </si>
  <si>
    <t>افزایش امتیاز</t>
  </si>
  <si>
    <t>درصد</t>
  </si>
  <si>
    <t>فوق العاده نوبت کاری</t>
  </si>
  <si>
    <t>جهت محاسبه بند ۷ مصوبه، تمامی آیتم های حقوقی به عنوان حقوق و مزایای مستمر سال 97 و ۹۸ لحاظ گردند؟</t>
  </si>
  <si>
    <t>کمتر از 30 سال سابقه خدمت دارید؟</t>
  </si>
  <si>
    <t>جایگاه (پست) سازمانی</t>
  </si>
  <si>
    <t>امتیاز حق شاغل سال 98</t>
  </si>
  <si>
    <t>امتیاز حق شاغل حکم سال 99</t>
  </si>
  <si>
    <t>ضریب پلکانی سال ۹۹</t>
  </si>
  <si>
    <t>اعمال ضریب سنواتی سال ۹۹
و امتیاز حق شاغل ۹۹</t>
  </si>
  <si>
    <t>اطلاعات جدول زیر جهت محاسبه امتیاز حق شاغل سال ۹۹ می باشد.</t>
  </si>
  <si>
    <t>اطلاعات جدول زیر جهت تعیین میزان ضریب حقوق سالانه می باشد.</t>
  </si>
  <si>
    <t>فوق‌العاده مدیریت نیز در محاسبه سقف 75% حق شاغل لحاظ گردد؟</t>
  </si>
  <si>
    <t>جمع حقوق و مزایای سال ۹۸ به میلیون ریال</t>
  </si>
  <si>
    <t>فرمول ضریب تعدیل سال ۹۹</t>
  </si>
  <si>
    <t>درصد ضریب تعدیل در سال ۹۹ از صفر تا چه درصدی باشد؟</t>
  </si>
  <si>
    <t>درصد افزایش امتیازات فصل دهم قانون مدیریت خدمات کشوری در سازمان شما</t>
  </si>
  <si>
    <t>کارشناس امور اداری و کارگزینی</t>
  </si>
  <si>
    <t>وضعیت استخدامی (قراردادی / پیمانی / رسمی)</t>
  </si>
  <si>
    <t>قراردادی</t>
  </si>
  <si>
    <t>پیمانی</t>
  </si>
  <si>
    <t>رسمی</t>
  </si>
  <si>
    <t>در جدول زیر وضعیت استخدامی خود را مشخص نمایید</t>
  </si>
  <si>
    <t xml:space="preserve">ساعات آموزش سال 9۸ </t>
  </si>
  <si>
    <t>حق شاغل 98</t>
  </si>
  <si>
    <t>اطلاعات جدول زیر جهت محاسبه امتیاز حق شاغل(ماده ۶۶ قانون مدیریت) بکار می رود.</t>
  </si>
  <si>
    <t>امتیاز سرپرستی</t>
  </si>
  <si>
    <t>محاسبه ضریب حقوق بر اساس قانون بودجه (ضریب مقامات متفاوت از سایر کارکنان است)</t>
  </si>
  <si>
    <t>جزء مقامات سیاسی (موضوع ماده ۷۱ قانون مدیریت) هستید؟</t>
  </si>
  <si>
    <t>ورود به سایت شناسنامه قانون (کلیک کنید)</t>
  </si>
  <si>
    <t>ارسال پیام از طریق ایمیل (کلیک کنید)</t>
  </si>
  <si>
    <t>تهیه و تنظیم : صیاح الدین شهدی          کارشناس امور اداری و کارگزینی</t>
  </si>
  <si>
    <r>
      <rPr>
        <b/>
        <sz val="12"/>
        <color theme="2" tint="-0.89999084444715716"/>
        <rFont val="B Nazanin"/>
        <charset val="178"/>
      </rPr>
      <t>تهیه و تنظیم</t>
    </r>
    <r>
      <rPr>
        <b/>
        <sz val="14"/>
        <color theme="2" tint="-0.89999084444715716"/>
        <rFont val="B Nazanin"/>
        <charset val="178"/>
      </rPr>
      <t xml:space="preserve"> : صیاح الدین شهدی</t>
    </r>
  </si>
  <si>
    <t>تعداد فرزندان مشمول دریافت حق اولاد؟</t>
  </si>
  <si>
    <t>حقوق پایه ماهیانه (ریال)</t>
  </si>
  <si>
    <t>بهار</t>
  </si>
  <si>
    <t>تابستان</t>
  </si>
  <si>
    <t>سال 98</t>
  </si>
  <si>
    <t>جمع حقوق</t>
  </si>
  <si>
    <t>کمک هزینه مسکن (ریال)</t>
  </si>
  <si>
    <t>کمک هزینه عائله مندی (ریال)</t>
  </si>
  <si>
    <t>کمک هزینه اقلام مصرفی خانوار - بن کارگری (ریال)</t>
  </si>
  <si>
    <t>حقوق</t>
  </si>
  <si>
    <t>پایه سنوات</t>
  </si>
  <si>
    <t>قبل از ۱/۴/۱۳۹۹</t>
  </si>
  <si>
    <t>بعد از ۱/۴/۱۳۹۹</t>
  </si>
  <si>
    <t> گروه </t>
  </si>
  <si>
    <t> پایه/ سنوات </t>
  </si>
  <si>
    <t> مزد شغل </t>
  </si>
  <si>
    <t>۳۱ روز</t>
  </si>
  <si>
    <t>مسکن</t>
  </si>
  <si>
    <t>کارگاه</t>
  </si>
  <si>
    <t>اولاد</t>
  </si>
  <si>
    <t>_</t>
  </si>
  <si>
    <t>نرخ یک ساعت اضافه کار (ریال)</t>
  </si>
  <si>
    <t>حقوق و مزایای ماهیانه</t>
  </si>
  <si>
    <t>مبنای محاسبه حقوق ماهیانه</t>
  </si>
  <si>
    <t>گروه (ویژه مشمولین طرح طبقه بندی مشاغل)</t>
  </si>
  <si>
    <t>مزد روزانه</t>
  </si>
  <si>
    <t>حقوق پایه روزانه ـ مزد روزانه (ریال)</t>
  </si>
  <si>
    <r>
      <t xml:space="preserve">برای دنبال کردن </t>
    </r>
    <r>
      <rPr>
        <b/>
        <sz val="14"/>
        <color rgb="FF7030A0"/>
        <rFont val="B Nazanin"/>
        <charset val="178"/>
      </rPr>
      <t>صیاح الدین شهدی</t>
    </r>
    <r>
      <rPr>
        <b/>
        <sz val="14"/>
        <color theme="9" tint="-0.499984740745262"/>
        <rFont val="B Nazanin"/>
        <charset val="178"/>
      </rPr>
      <t xml:space="preserve"> در </t>
    </r>
    <r>
      <rPr>
        <b/>
        <sz val="14"/>
        <color rgb="FF7030A0"/>
        <rFont val="B Nazanin"/>
        <charset val="178"/>
      </rPr>
      <t>اینستاگرام instagram</t>
    </r>
    <r>
      <rPr>
        <b/>
        <sz val="14"/>
        <color theme="9" tint="-0.499984740745262"/>
        <rFont val="B Nazanin"/>
        <charset val="178"/>
      </rPr>
      <t xml:space="preserve"> کلیک کنید.</t>
    </r>
  </si>
  <si>
    <t>دنبال کردن شناسنامه قانون در اینستاگرام (کلیک کنید)</t>
  </si>
  <si>
    <r>
      <t xml:space="preserve">لطفاْ جهت فعال سازی فایل، ابتدا در نوار زرد رنگ بالا، روی گزینه </t>
    </r>
    <r>
      <rPr>
        <b/>
        <sz val="13"/>
        <rFont val="B Roya"/>
        <charset val="178"/>
      </rPr>
      <t>Enable Editing</t>
    </r>
    <r>
      <rPr>
        <b/>
        <sz val="13"/>
        <color theme="4" tint="-0.499984740745262"/>
        <rFont val="B Roya"/>
        <charset val="178"/>
      </rPr>
      <t xml:space="preserve">  کلیک کنید سپس با دقت به سوالات زیر پاسخ دهید.</t>
    </r>
  </si>
  <si>
    <t>سال 1399</t>
  </si>
  <si>
    <t>سال 1400</t>
  </si>
  <si>
    <t>حقوق پایه روزانه شما در سال ۱۳۹9 (ریال)</t>
  </si>
  <si>
    <t>پایه سنوات روزانه شما در سال ۱۳۹9 (ریال)</t>
  </si>
  <si>
    <t>پایه 99</t>
  </si>
  <si>
    <t>مزد 99</t>
  </si>
  <si>
    <t>پایه 1400</t>
  </si>
  <si>
    <t>مزد 1400</t>
  </si>
  <si>
    <t>روزانه</t>
  </si>
  <si>
    <t>عنوان</t>
  </si>
  <si>
    <t>مجموع افزایش به نسبت سال 99 (ریال)</t>
  </si>
  <si>
    <t>مجموع افزایش به نسبت سال 99 (درصد)</t>
  </si>
  <si>
    <t>محاسبه افزایش حقوق و دستمزد مشمولین قانون کار در سال ۱400</t>
  </si>
  <si>
    <t>پایه سنوات روزانه (ریال)</t>
  </si>
  <si>
    <t>پایه سنوات ماهیانه (ریال)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</si>
</sst>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3000401]0"/>
    <numFmt numFmtId="165" formatCode="0.0"/>
  </numFmts>
  <fonts count="56" x14ac:knownFonts="1">
    <font>
      <sz val="11"/>
      <color theme="1"/>
      <name val="Arial"/>
      <family val="2"/>
      <scheme val="minor"/>
    </font>
    <font>
      <b/>
      <sz val="11"/>
      <color theme="1"/>
      <name val="B Nazanin"/>
      <charset val="178"/>
    </font>
    <font>
      <sz val="11"/>
      <color theme="1"/>
      <name val="B Nazanin"/>
      <charset val="178"/>
    </font>
    <font>
      <sz val="12"/>
      <color theme="1"/>
      <name val="B Nazanin"/>
      <charset val="178"/>
    </font>
    <font>
      <sz val="10"/>
      <color theme="1"/>
      <name val="B Nazanin"/>
      <charset val="178"/>
    </font>
    <font>
      <sz val="14"/>
      <color theme="1"/>
      <name val="B Nazanin"/>
      <charset val="178"/>
    </font>
    <font>
      <u/>
      <sz val="11"/>
      <color theme="10"/>
      <name val="Arial"/>
      <family val="2"/>
      <scheme val="minor"/>
    </font>
    <font>
      <b/>
      <sz val="11"/>
      <color theme="1"/>
      <name val="B Roya"/>
      <charset val="178"/>
    </font>
    <font>
      <b/>
      <sz val="11"/>
      <name val="B Roya"/>
      <charset val="178"/>
    </font>
    <font>
      <b/>
      <sz val="14"/>
      <color theme="1"/>
      <name val="B Nazanin"/>
      <charset val="178"/>
    </font>
    <font>
      <b/>
      <sz val="12"/>
      <color theme="1"/>
      <name val="B Nazanin"/>
      <charset val="178"/>
    </font>
    <font>
      <sz val="14"/>
      <color theme="0"/>
      <name val="B Nazanin"/>
      <charset val="178"/>
    </font>
    <font>
      <sz val="14"/>
      <name val="B Nazanin"/>
      <charset val="178"/>
    </font>
    <font>
      <sz val="14"/>
      <color rgb="FFFFFF00"/>
      <name val="B Nazanin"/>
      <charset val="178"/>
    </font>
    <font>
      <b/>
      <sz val="14"/>
      <name val="B Nazanin"/>
      <charset val="178"/>
    </font>
    <font>
      <b/>
      <sz val="11"/>
      <color theme="8" tint="-0.499984740745262"/>
      <name val="B Nazanin"/>
      <charset val="178"/>
    </font>
    <font>
      <b/>
      <sz val="16"/>
      <color theme="9" tint="-0.499984740745262"/>
      <name val="B Nazanin"/>
      <charset val="178"/>
    </font>
    <font>
      <b/>
      <sz val="12"/>
      <color theme="0"/>
      <name val="B Nazanin"/>
      <charset val="178"/>
    </font>
    <font>
      <b/>
      <sz val="14"/>
      <color theme="9" tint="-0.499984740745262"/>
      <name val="B Nazanin"/>
      <charset val="178"/>
    </font>
    <font>
      <sz val="11"/>
      <name val="Arial"/>
      <family val="2"/>
      <scheme val="minor"/>
    </font>
    <font>
      <b/>
      <sz val="14"/>
      <color theme="8" tint="-0.499984740745262"/>
      <name val="B Nazanin"/>
      <charset val="178"/>
    </font>
    <font>
      <b/>
      <sz val="11"/>
      <color rgb="FF7030A0"/>
      <name val="B Nazanin"/>
      <charset val="178"/>
    </font>
    <font>
      <b/>
      <sz val="12"/>
      <name val="B Nazanin"/>
      <charset val="178"/>
    </font>
    <font>
      <b/>
      <sz val="16"/>
      <color theme="1"/>
      <name val="B Roya"/>
      <charset val="178"/>
    </font>
    <font>
      <sz val="11"/>
      <name val="B Nazanin"/>
      <charset val="178"/>
    </font>
    <font>
      <b/>
      <sz val="12"/>
      <color theme="1"/>
      <name val="B Roya"/>
      <charset val="178"/>
    </font>
    <font>
      <b/>
      <sz val="11"/>
      <color rgb="FFFFFF00"/>
      <name val="B Roya"/>
      <charset val="178"/>
    </font>
    <font>
      <b/>
      <u/>
      <sz val="12"/>
      <color theme="10"/>
      <name val="B Nazanin"/>
      <charset val="178"/>
    </font>
    <font>
      <b/>
      <sz val="11"/>
      <color theme="8" tint="-0.249977111117893"/>
      <name val="B Nazanin"/>
      <charset val="178"/>
    </font>
    <font>
      <b/>
      <sz val="10"/>
      <color theme="8" tint="-0.249977111117893"/>
      <name val="B Nazanin"/>
      <charset val="178"/>
    </font>
    <font>
      <b/>
      <sz val="10"/>
      <color indexed="81"/>
      <name val="B Nazanin"/>
      <charset val="178"/>
    </font>
    <font>
      <b/>
      <sz val="11"/>
      <color theme="1"/>
      <name val="Arial"/>
      <family val="2"/>
      <scheme val="minor"/>
    </font>
    <font>
      <b/>
      <sz val="9"/>
      <color indexed="81"/>
      <name val="B Nazanin"/>
      <charset val="178"/>
    </font>
    <font>
      <b/>
      <sz val="14"/>
      <color rgb="FF7030A0"/>
      <name val="B Nazanin"/>
      <charset val="178"/>
    </font>
    <font>
      <sz val="11"/>
      <color theme="0"/>
      <name val="Arial"/>
      <family val="2"/>
      <scheme val="minor"/>
    </font>
    <font>
      <b/>
      <sz val="14"/>
      <color theme="4" tint="-0.499984740745262"/>
      <name val="Arial"/>
      <family val="2"/>
      <scheme val="minor"/>
    </font>
    <font>
      <b/>
      <sz val="12"/>
      <color theme="1"/>
      <name val="Arial"/>
      <family val="2"/>
      <scheme val="minor"/>
    </font>
    <font>
      <b/>
      <sz val="16"/>
      <color theme="1"/>
      <name val="B Nazanin"/>
      <charset val="178"/>
    </font>
    <font>
      <sz val="11"/>
      <color theme="0"/>
      <name val="B Nazanin"/>
      <charset val="178"/>
    </font>
    <font>
      <b/>
      <sz val="12"/>
      <color theme="8" tint="-0.499984740745262"/>
      <name val="B Nazanin"/>
      <charset val="178"/>
    </font>
    <font>
      <b/>
      <sz val="12"/>
      <color theme="7" tint="-0.499984740745262"/>
      <name val="B Roya"/>
      <charset val="178"/>
    </font>
    <font>
      <b/>
      <sz val="14"/>
      <color theme="2" tint="-0.89999084444715716"/>
      <name val="B Nazanin"/>
      <charset val="178"/>
    </font>
    <font>
      <b/>
      <sz val="12"/>
      <color theme="2" tint="-0.89999084444715716"/>
      <name val="B Nazanin"/>
      <charset val="178"/>
    </font>
    <font>
      <sz val="11"/>
      <color theme="1"/>
      <name val="B Koodak"/>
      <charset val="178"/>
    </font>
    <font>
      <sz val="16"/>
      <color theme="1"/>
      <name val="B Yekan"/>
      <charset val="178"/>
    </font>
    <font>
      <sz val="14"/>
      <color theme="1"/>
      <name val="B Yekan"/>
      <charset val="178"/>
    </font>
    <font>
      <sz val="14"/>
      <color theme="1"/>
      <name val="B Roya"/>
      <charset val="178"/>
    </font>
    <font>
      <b/>
      <sz val="10"/>
      <color rgb="FF333333"/>
      <name val="B Koodak"/>
      <charset val="178"/>
    </font>
    <font>
      <sz val="8"/>
      <color rgb="FF000000"/>
      <name val="Segoe UI"/>
      <family val="2"/>
    </font>
    <font>
      <sz val="11"/>
      <color rgb="FF454545"/>
      <name val="Tahoma"/>
      <family val="2"/>
    </font>
    <font>
      <sz val="11"/>
      <color rgb="FFFF0000"/>
      <name val="Tahoma"/>
      <family val="2"/>
    </font>
    <font>
      <b/>
      <sz val="13"/>
      <color theme="4" tint="-0.499984740745262"/>
      <name val="B Roya"/>
      <charset val="178"/>
    </font>
    <font>
      <b/>
      <sz val="16"/>
      <color theme="8" tint="-0.249977111117893"/>
      <name val="B Nazanin"/>
      <charset val="178"/>
    </font>
    <font>
      <b/>
      <sz val="9"/>
      <color indexed="81"/>
      <name val="Tahoma"/>
      <family val="2"/>
    </font>
    <font>
      <b/>
      <sz val="13"/>
      <name val="B Roya"/>
      <charset val="178"/>
    </font>
    <font>
      <b/>
      <sz val="12"/>
      <color rgb="FF002060"/>
      <name val="B Nazanin"/>
      <charset val="178"/>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49998474074526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5" tint="0.79998168889431442"/>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hair">
        <color auto="1"/>
      </left>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s>
  <cellStyleXfs count="2">
    <xf numFmtId="0" fontId="0" fillId="0" borderId="0"/>
    <xf numFmtId="0" fontId="6" fillId="0" borderId="0" applyNumberFormat="0" applyFill="0" applyBorder="0" applyAlignment="0" applyProtection="0"/>
  </cellStyleXfs>
  <cellXfs count="329">
    <xf numFmtId="0" fontId="0" fillId="0" borderId="0" xfId="0"/>
    <xf numFmtId="0" fontId="5" fillId="0" borderId="11" xfId="0" applyFont="1" applyBorder="1" applyAlignment="1" applyProtection="1">
      <alignment horizontal="center"/>
      <protection hidden="1"/>
    </xf>
    <xf numFmtId="0" fontId="5" fillId="10" borderId="12" xfId="0" applyFont="1" applyFill="1" applyBorder="1" applyAlignment="1" applyProtection="1">
      <alignment horizontal="center"/>
      <protection hidden="1"/>
    </xf>
    <xf numFmtId="0" fontId="5" fillId="0" borderId="7" xfId="0" applyFont="1" applyBorder="1" applyAlignment="1" applyProtection="1">
      <alignment horizontal="center"/>
      <protection hidden="1"/>
    </xf>
    <xf numFmtId="0" fontId="5" fillId="10" borderId="6" xfId="0" applyFont="1" applyFill="1" applyBorder="1" applyAlignment="1" applyProtection="1">
      <alignment horizontal="center"/>
      <protection hidden="1"/>
    </xf>
    <xf numFmtId="0" fontId="5" fillId="0" borderId="21" xfId="0" applyFont="1" applyBorder="1" applyAlignment="1" applyProtection="1">
      <alignment horizontal="center"/>
      <protection hidden="1"/>
    </xf>
    <xf numFmtId="0" fontId="5" fillId="10" borderId="34" xfId="0" applyFont="1" applyFill="1" applyBorder="1" applyAlignment="1" applyProtection="1">
      <alignment horizontal="center"/>
      <protection hidden="1"/>
    </xf>
    <xf numFmtId="164" fontId="5" fillId="0" borderId="7" xfId="0" applyNumberFormat="1" applyFont="1" applyBorder="1" applyAlignment="1" applyProtection="1">
      <alignment horizontal="center"/>
      <protection hidden="1"/>
    </xf>
    <xf numFmtId="164" fontId="5" fillId="0" borderId="21" xfId="0" applyNumberFormat="1" applyFont="1" applyBorder="1" applyAlignment="1" applyProtection="1">
      <alignment horizontal="center"/>
      <protection hidden="1"/>
    </xf>
    <xf numFmtId="164" fontId="5" fillId="0" borderId="8" xfId="0" applyNumberFormat="1"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6" xfId="0" applyFont="1" applyBorder="1" applyAlignment="1" applyProtection="1">
      <alignment horizontal="center"/>
      <protection hidden="1"/>
    </xf>
    <xf numFmtId="0" fontId="5" fillId="0" borderId="3" xfId="0" applyFont="1" applyBorder="1" applyAlignment="1" applyProtection="1">
      <alignment horizontal="center"/>
      <protection hidden="1"/>
    </xf>
    <xf numFmtId="164" fontId="5" fillId="0" borderId="9" xfId="0" applyNumberFormat="1" applyFont="1" applyBorder="1" applyAlignment="1" applyProtection="1">
      <alignment horizontal="center"/>
      <protection hidden="1"/>
    </xf>
    <xf numFmtId="0" fontId="5" fillId="0" borderId="4" xfId="0" applyFont="1" applyBorder="1" applyAlignment="1" applyProtection="1">
      <alignment horizontal="center"/>
      <protection hidden="1"/>
    </xf>
    <xf numFmtId="9" fontId="5" fillId="0" borderId="7" xfId="0" applyNumberFormat="1" applyFont="1" applyBorder="1" applyAlignment="1" applyProtection="1">
      <alignment horizontal="center"/>
      <protection hidden="1"/>
    </xf>
    <xf numFmtId="1" fontId="5" fillId="0" borderId="6" xfId="0" applyNumberFormat="1" applyFont="1" applyBorder="1" applyAlignment="1" applyProtection="1">
      <alignment horizontal="center"/>
      <protection hidden="1"/>
    </xf>
    <xf numFmtId="9" fontId="5" fillId="0" borderId="21" xfId="0" applyNumberFormat="1" applyFont="1" applyBorder="1" applyAlignment="1" applyProtection="1">
      <alignment horizontal="center"/>
      <protection hidden="1"/>
    </xf>
    <xf numFmtId="1" fontId="5" fillId="0" borderId="34" xfId="0" applyNumberFormat="1" applyFont="1" applyBorder="1" applyAlignment="1" applyProtection="1">
      <alignment horizontal="center"/>
      <protection hidden="1"/>
    </xf>
    <xf numFmtId="1" fontId="5" fillId="3" borderId="15" xfId="0" applyNumberFormat="1" applyFont="1" applyFill="1" applyBorder="1" applyAlignment="1" applyProtection="1">
      <alignment horizontal="center"/>
      <protection hidden="1"/>
    </xf>
    <xf numFmtId="0" fontId="5" fillId="10" borderId="33" xfId="0" applyFont="1" applyFill="1" applyBorder="1" applyAlignment="1" applyProtection="1">
      <alignment horizontal="center"/>
      <protection hidden="1"/>
    </xf>
    <xf numFmtId="2" fontId="11" fillId="12" borderId="2" xfId="0" applyNumberFormat="1" applyFont="1" applyFill="1" applyBorder="1" applyAlignment="1" applyProtection="1">
      <alignment horizontal="center"/>
      <protection hidden="1"/>
    </xf>
    <xf numFmtId="0" fontId="12" fillId="0" borderId="6" xfId="0" applyFont="1" applyFill="1" applyBorder="1" applyAlignment="1" applyProtection="1">
      <alignment horizontal="center"/>
      <protection hidden="1"/>
    </xf>
    <xf numFmtId="2" fontId="11" fillId="12" borderId="4" xfId="0" applyNumberFormat="1" applyFont="1" applyFill="1" applyBorder="1" applyAlignment="1" applyProtection="1">
      <alignment horizontal="center"/>
      <protection hidden="1"/>
    </xf>
    <xf numFmtId="0" fontId="12" fillId="0" borderId="37" xfId="0" applyFont="1" applyFill="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13" borderId="15" xfId="0" applyFont="1" applyFill="1" applyBorder="1" applyAlignment="1" applyProtection="1">
      <alignment horizontal="center"/>
      <protection hidden="1"/>
    </xf>
    <xf numFmtId="164" fontId="5" fillId="0" borderId="5" xfId="0" applyNumberFormat="1" applyFont="1" applyBorder="1" applyAlignment="1" applyProtection="1">
      <alignment horizontal="center"/>
      <protection hidden="1"/>
    </xf>
    <xf numFmtId="0" fontId="5" fillId="15" borderId="1" xfId="0" applyFont="1" applyFill="1" applyBorder="1" applyAlignment="1" applyProtection="1">
      <alignment horizontal="center"/>
      <protection hidden="1"/>
    </xf>
    <xf numFmtId="0" fontId="5" fillId="15" borderId="8" xfId="0" applyFont="1" applyFill="1" applyBorder="1" applyAlignment="1" applyProtection="1">
      <alignment horizontal="center"/>
      <protection hidden="1"/>
    </xf>
    <xf numFmtId="0" fontId="5" fillId="15" borderId="2" xfId="0" applyFont="1" applyFill="1" applyBorder="1" applyAlignment="1" applyProtection="1">
      <alignment horizontal="center"/>
      <protection hidden="1"/>
    </xf>
    <xf numFmtId="0" fontId="13" fillId="16" borderId="15" xfId="0" applyFont="1" applyFill="1" applyBorder="1" applyAlignment="1" applyProtection="1">
      <alignment horizontal="center"/>
      <protection hidden="1"/>
    </xf>
    <xf numFmtId="164" fontId="5" fillId="0" borderId="1" xfId="0" applyNumberFormat="1" applyFont="1" applyBorder="1" applyAlignment="1" applyProtection="1">
      <alignment horizontal="center"/>
      <protection hidden="1"/>
    </xf>
    <xf numFmtId="164" fontId="5" fillId="0" borderId="2" xfId="0" applyNumberFormat="1" applyFont="1" applyBorder="1" applyAlignment="1" applyProtection="1">
      <alignment horizontal="center"/>
      <protection hidden="1"/>
    </xf>
    <xf numFmtId="164" fontId="5" fillId="0" borderId="6" xfId="0" applyNumberFormat="1" applyFont="1" applyBorder="1" applyAlignment="1" applyProtection="1">
      <alignment horizontal="center"/>
      <protection hidden="1"/>
    </xf>
    <xf numFmtId="164" fontId="5" fillId="0" borderId="36" xfId="0" applyNumberFormat="1" applyFont="1" applyBorder="1" applyAlignment="1" applyProtection="1">
      <alignment horizontal="center"/>
      <protection hidden="1"/>
    </xf>
    <xf numFmtId="164" fontId="5" fillId="0" borderId="34" xfId="0" applyNumberFormat="1" applyFont="1" applyBorder="1" applyAlignment="1" applyProtection="1">
      <alignment horizontal="center"/>
      <protection hidden="1"/>
    </xf>
    <xf numFmtId="164" fontId="14" fillId="3" borderId="13" xfId="0" applyNumberFormat="1" applyFont="1" applyFill="1" applyBorder="1" applyAlignment="1" applyProtection="1">
      <alignment horizontal="center"/>
      <protection hidden="1"/>
    </xf>
    <xf numFmtId="164" fontId="14" fillId="3" borderId="15" xfId="0" applyNumberFormat="1" applyFont="1" applyFill="1" applyBorder="1" applyAlignment="1" applyProtection="1">
      <alignment horizontal="center"/>
      <protection hidden="1"/>
    </xf>
    <xf numFmtId="164" fontId="14" fillId="3" borderId="13" xfId="0" applyNumberFormat="1" applyFont="1" applyFill="1" applyBorder="1" applyAlignment="1" applyProtection="1">
      <alignment horizontal="center" shrinkToFit="1"/>
      <protection hidden="1"/>
    </xf>
    <xf numFmtId="0" fontId="10" fillId="8" borderId="1" xfId="0" applyFont="1" applyFill="1" applyBorder="1" applyAlignment="1" applyProtection="1">
      <alignment horizontal="center" vertical="center" shrinkToFit="1" readingOrder="2"/>
      <protection hidden="1"/>
    </xf>
    <xf numFmtId="0" fontId="10" fillId="8" borderId="5" xfId="0" applyFont="1" applyFill="1" applyBorder="1" applyAlignment="1" applyProtection="1">
      <alignment horizontal="center" vertical="center" shrinkToFit="1" readingOrder="2"/>
      <protection hidden="1"/>
    </xf>
    <xf numFmtId="0" fontId="10" fillId="8" borderId="3" xfId="0" applyFont="1" applyFill="1" applyBorder="1" applyAlignment="1" applyProtection="1">
      <alignment horizontal="center" vertical="center" shrinkToFit="1" readingOrder="2"/>
      <protection hidden="1"/>
    </xf>
    <xf numFmtId="164" fontId="5" fillId="10" borderId="5" xfId="0" applyNumberFormat="1" applyFont="1" applyFill="1" applyBorder="1" applyAlignment="1" applyProtection="1">
      <alignment horizontal="center"/>
      <protection hidden="1"/>
    </xf>
    <xf numFmtId="164" fontId="5" fillId="10" borderId="7" xfId="0" applyNumberFormat="1" applyFont="1" applyFill="1" applyBorder="1" applyAlignment="1" applyProtection="1">
      <alignment horizontal="center"/>
      <protection hidden="1"/>
    </xf>
    <xf numFmtId="164" fontId="5" fillId="10" borderId="3" xfId="0" applyNumberFormat="1" applyFont="1" applyFill="1" applyBorder="1" applyAlignment="1" applyProtection="1">
      <alignment horizontal="center"/>
      <protection hidden="1"/>
    </xf>
    <xf numFmtId="164" fontId="5" fillId="10" borderId="9" xfId="0" applyNumberFormat="1" applyFont="1" applyFill="1" applyBorder="1" applyAlignment="1" applyProtection="1">
      <alignment horizontal="center"/>
      <protection hidden="1"/>
    </xf>
    <xf numFmtId="0" fontId="5" fillId="10" borderId="4" xfId="0" applyFont="1" applyFill="1" applyBorder="1" applyAlignment="1" applyProtection="1">
      <alignment horizontal="center"/>
      <protection hidden="1"/>
    </xf>
    <xf numFmtId="0" fontId="0" fillId="2" borderId="0" xfId="0" applyFill="1" applyProtection="1">
      <protection hidden="1"/>
    </xf>
    <xf numFmtId="0" fontId="0" fillId="0" borderId="0" xfId="0" applyProtection="1">
      <protection hidden="1"/>
    </xf>
    <xf numFmtId="1" fontId="10" fillId="2" borderId="7" xfId="0" applyNumberFormat="1" applyFont="1" applyFill="1" applyBorder="1" applyAlignment="1" applyProtection="1">
      <alignment horizontal="center" vertical="center" shrinkToFit="1" readingOrder="2"/>
      <protection hidden="1"/>
    </xf>
    <xf numFmtId="3" fontId="10" fillId="2" borderId="6" xfId="0" applyNumberFormat="1" applyFont="1" applyFill="1" applyBorder="1" applyAlignment="1" applyProtection="1">
      <alignment horizontal="center" vertical="center" shrinkToFit="1" readingOrder="2"/>
      <protection hidden="1"/>
    </xf>
    <xf numFmtId="1" fontId="10" fillId="2" borderId="11" xfId="0" applyNumberFormat="1" applyFont="1" applyFill="1" applyBorder="1" applyAlignment="1" applyProtection="1">
      <alignment horizontal="center" vertical="center" shrinkToFit="1" readingOrder="2"/>
      <protection hidden="1"/>
    </xf>
    <xf numFmtId="3" fontId="10" fillId="2" borderId="12" xfId="0" applyNumberFormat="1" applyFont="1" applyFill="1" applyBorder="1" applyAlignment="1" applyProtection="1">
      <alignment horizontal="center" vertical="center" shrinkToFit="1" readingOrder="2"/>
      <protection hidden="1"/>
    </xf>
    <xf numFmtId="3" fontId="10" fillId="0" borderId="6" xfId="0" applyNumberFormat="1" applyFont="1" applyFill="1" applyBorder="1" applyAlignment="1" applyProtection="1">
      <alignment horizontal="center" vertical="center" shrinkToFit="1" readingOrder="2"/>
      <protection hidden="1"/>
    </xf>
    <xf numFmtId="1" fontId="10" fillId="0" borderId="7" xfId="0" applyNumberFormat="1" applyFont="1" applyFill="1" applyBorder="1" applyAlignment="1" applyProtection="1">
      <alignment horizontal="center" vertical="center" shrinkToFit="1" readingOrder="2"/>
      <protection hidden="1"/>
    </xf>
    <xf numFmtId="3" fontId="10" fillId="0" borderId="34" xfId="0" applyNumberFormat="1" applyFont="1" applyFill="1" applyBorder="1" applyAlignment="1" applyProtection="1">
      <alignment horizontal="center" vertical="center" shrinkToFit="1" readingOrder="2"/>
      <protection hidden="1"/>
    </xf>
    <xf numFmtId="1" fontId="10" fillId="0" borderId="21" xfId="0" applyNumberFormat="1" applyFont="1" applyFill="1" applyBorder="1" applyAlignment="1" applyProtection="1">
      <alignment horizontal="center" vertical="center" shrinkToFit="1" readingOrder="2"/>
      <protection hidden="1"/>
    </xf>
    <xf numFmtId="3" fontId="8" fillId="4" borderId="6" xfId="0" applyNumberFormat="1" applyFont="1" applyFill="1" applyBorder="1" applyAlignment="1" applyProtection="1">
      <alignment horizontal="center" vertical="center" shrinkToFit="1" readingOrder="2"/>
      <protection hidden="1"/>
    </xf>
    <xf numFmtId="0" fontId="0" fillId="14" borderId="0" xfId="0" applyFill="1" applyProtection="1">
      <protection hidden="1"/>
    </xf>
    <xf numFmtId="0" fontId="0" fillId="14" borderId="0" xfId="0" applyFill="1" applyAlignment="1" applyProtection="1">
      <alignment shrinkToFit="1"/>
      <protection hidden="1"/>
    </xf>
    <xf numFmtId="0" fontId="2" fillId="14" borderId="0" xfId="0" applyFont="1" applyFill="1" applyProtection="1">
      <protection hidden="1"/>
    </xf>
    <xf numFmtId="0" fontId="0" fillId="0" borderId="0" xfId="0" applyFill="1" applyBorder="1" applyProtection="1">
      <protection hidden="1"/>
    </xf>
    <xf numFmtId="0" fontId="2" fillId="0" borderId="0" xfId="0" applyFont="1" applyProtection="1">
      <protection hidden="1"/>
    </xf>
    <xf numFmtId="3" fontId="7" fillId="2" borderId="0" xfId="0" applyNumberFormat="1" applyFont="1" applyFill="1" applyBorder="1" applyAlignment="1" applyProtection="1">
      <alignment horizontal="center" vertical="center" shrinkToFit="1" readingOrder="2"/>
      <protection hidden="1"/>
    </xf>
    <xf numFmtId="0" fontId="19" fillId="2" borderId="0" xfId="0" applyFont="1" applyFill="1" applyBorder="1" applyProtection="1">
      <protection hidden="1"/>
    </xf>
    <xf numFmtId="0" fontId="0" fillId="2" borderId="0" xfId="0" applyFill="1" applyBorder="1" applyProtection="1">
      <protection hidden="1"/>
    </xf>
    <xf numFmtId="0" fontId="9" fillId="5" borderId="13" xfId="0" applyFont="1" applyFill="1" applyBorder="1" applyAlignment="1" applyProtection="1">
      <alignment horizontal="center" vertical="center" shrinkToFit="1" readingOrder="2"/>
      <protection hidden="1"/>
    </xf>
    <xf numFmtId="0" fontId="22" fillId="21" borderId="18" xfId="0" applyFont="1" applyFill="1" applyBorder="1" applyAlignment="1" applyProtection="1">
      <alignment horizontal="center" vertical="center" shrinkToFit="1" readingOrder="2"/>
      <protection hidden="1"/>
    </xf>
    <xf numFmtId="0" fontId="22" fillId="21" borderId="38" xfId="0" applyFont="1" applyFill="1" applyBorder="1" applyAlignment="1" applyProtection="1">
      <alignment horizontal="center" vertical="center" shrinkToFit="1" readingOrder="2"/>
      <protection hidden="1"/>
    </xf>
    <xf numFmtId="3" fontId="10" fillId="20" borderId="6" xfId="0" applyNumberFormat="1" applyFont="1" applyFill="1" applyBorder="1" applyAlignment="1" applyProtection="1">
      <alignment horizontal="center" vertical="center" shrinkToFit="1" readingOrder="2"/>
      <protection hidden="1"/>
    </xf>
    <xf numFmtId="1" fontId="10" fillId="20" borderId="7" xfId="0" applyNumberFormat="1" applyFont="1" applyFill="1" applyBorder="1" applyAlignment="1" applyProtection="1">
      <alignment horizontal="center" vertical="center" shrinkToFit="1" readingOrder="2"/>
      <protection hidden="1"/>
    </xf>
    <xf numFmtId="3" fontId="10" fillId="20" borderId="15" xfId="0" applyNumberFormat="1" applyFont="1" applyFill="1" applyBorder="1" applyAlignment="1" applyProtection="1">
      <alignment horizontal="center" vertical="center" shrinkToFit="1" readingOrder="2"/>
      <protection hidden="1"/>
    </xf>
    <xf numFmtId="1" fontId="10" fillId="20" borderId="14" xfId="0" applyNumberFormat="1" applyFont="1" applyFill="1" applyBorder="1" applyAlignment="1" applyProtection="1">
      <alignment horizontal="center" vertical="center" shrinkToFit="1" readingOrder="2"/>
      <protection hidden="1"/>
    </xf>
    <xf numFmtId="164" fontId="9" fillId="5" borderId="15" xfId="0" applyNumberFormat="1" applyFont="1" applyFill="1" applyBorder="1" applyAlignment="1" applyProtection="1">
      <alignment horizontal="center" vertical="center" shrinkToFit="1" readingOrder="2"/>
      <protection hidden="1"/>
    </xf>
    <xf numFmtId="0" fontId="9" fillId="5" borderId="7"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readingOrder="2"/>
      <protection hidden="1"/>
    </xf>
    <xf numFmtId="0" fontId="24"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0" fillId="0" borderId="0" xfId="0" applyFont="1" applyProtection="1">
      <protection hidden="1"/>
    </xf>
    <xf numFmtId="0" fontId="2" fillId="0" borderId="0" xfId="0" applyFont="1" applyAlignment="1" applyProtection="1">
      <alignment horizontal="center" vertical="center" shrinkToFit="1" readingOrder="2"/>
      <protection hidden="1"/>
    </xf>
    <xf numFmtId="164" fontId="2" fillId="0" borderId="0" xfId="0" applyNumberFormat="1" applyFont="1" applyAlignment="1" applyProtection="1">
      <alignment horizontal="center" vertical="center" readingOrder="2"/>
      <protection hidden="1"/>
    </xf>
    <xf numFmtId="0" fontId="1" fillId="7" borderId="15" xfId="0" applyFont="1" applyFill="1" applyBorder="1" applyAlignment="1" applyProtection="1">
      <alignment horizontal="center" vertical="center" shrinkToFit="1" readingOrder="2"/>
      <protection hidden="1"/>
    </xf>
    <xf numFmtId="1" fontId="7" fillId="8" borderId="2" xfId="0" applyNumberFormat="1" applyFont="1" applyFill="1" applyBorder="1" applyAlignment="1" applyProtection="1">
      <alignment horizontal="center" vertical="center" readingOrder="2"/>
      <protection hidden="1"/>
    </xf>
    <xf numFmtId="0" fontId="1" fillId="2" borderId="0" xfId="0" applyFont="1" applyFill="1" applyAlignment="1" applyProtection="1">
      <alignment horizontal="center" vertical="center" shrinkToFit="1" readingOrder="2"/>
      <protection hidden="1"/>
    </xf>
    <xf numFmtId="0" fontId="1" fillId="7" borderId="17" xfId="0" applyFont="1" applyFill="1" applyBorder="1" applyAlignment="1" applyProtection="1">
      <alignment horizontal="center" vertical="center" shrinkToFit="1" readingOrder="2"/>
      <protection hidden="1"/>
    </xf>
    <xf numFmtId="0" fontId="1" fillId="7" borderId="31" xfId="0" applyFont="1" applyFill="1" applyBorder="1" applyAlignment="1" applyProtection="1">
      <alignment horizontal="center" vertical="center" shrinkToFit="1" readingOrder="2"/>
      <protection hidden="1"/>
    </xf>
    <xf numFmtId="1" fontId="1" fillId="8" borderId="4" xfId="0" applyNumberFormat="1" applyFont="1" applyFill="1" applyBorder="1" applyAlignment="1" applyProtection="1">
      <alignment horizontal="center" vertical="center" shrinkToFit="1" readingOrder="2"/>
      <protection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4" fontId="2" fillId="2" borderId="0" xfId="0" applyNumberFormat="1" applyFont="1" applyFill="1" applyAlignment="1" applyProtection="1">
      <alignment horizontal="center" vertical="center" readingOrder="2"/>
      <protection hidden="1"/>
    </xf>
    <xf numFmtId="0" fontId="1" fillId="8" borderId="47" xfId="0" applyFont="1" applyFill="1" applyBorder="1" applyAlignment="1" applyProtection="1">
      <alignment horizontal="center" vertical="center" shrinkToFit="1" readingOrder="2"/>
      <protection hidden="1"/>
    </xf>
    <xf numFmtId="0" fontId="1" fillId="8" borderId="41" xfId="0" applyFont="1" applyFill="1" applyBorder="1" applyAlignment="1" applyProtection="1">
      <alignment horizontal="center" vertical="center" shrinkToFit="1" readingOrder="2"/>
      <protection hidden="1"/>
    </xf>
    <xf numFmtId="0" fontId="1" fillId="0" borderId="0" xfId="0" applyFont="1" applyAlignment="1" applyProtection="1">
      <alignment horizontal="center" vertical="center" readingOrder="2"/>
      <protection hidden="1"/>
    </xf>
    <xf numFmtId="1" fontId="1" fillId="0" borderId="0" xfId="0" applyNumberFormat="1" applyFont="1" applyAlignment="1" applyProtection="1">
      <alignment horizontal="center" vertical="center" readingOrder="2"/>
      <protection hidden="1"/>
    </xf>
    <xf numFmtId="3" fontId="7" fillId="4" borderId="7" xfId="0" applyNumberFormat="1" applyFont="1" applyFill="1" applyBorder="1" applyAlignment="1" applyProtection="1">
      <alignment horizontal="center" vertical="center" shrinkToFit="1" readingOrder="2"/>
      <protection hidden="1"/>
    </xf>
    <xf numFmtId="3" fontId="7" fillId="4" borderId="9" xfId="0" applyNumberFormat="1" applyFont="1" applyFill="1" applyBorder="1" applyAlignment="1" applyProtection="1">
      <alignment horizontal="center" vertical="center" shrinkToFit="1" readingOrder="2"/>
      <protection hidden="1"/>
    </xf>
    <xf numFmtId="3" fontId="7" fillId="4" borderId="11" xfId="0" applyNumberFormat="1" applyFont="1" applyFill="1" applyBorder="1" applyAlignment="1" applyProtection="1">
      <alignment horizontal="center" vertical="center" shrinkToFit="1" readingOrder="2"/>
      <protection hidden="1"/>
    </xf>
    <xf numFmtId="3" fontId="10" fillId="19" borderId="14" xfId="0" applyNumberFormat="1"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0" fillId="0" borderId="0" xfId="0" applyAlignment="1" applyProtection="1">
      <alignment horizontal="center" vertical="center"/>
      <protection hidden="1"/>
    </xf>
    <xf numFmtId="0" fontId="10" fillId="2" borderId="0" xfId="0" applyFont="1" applyFill="1" applyBorder="1" applyAlignment="1" applyProtection="1">
      <alignment vertical="center" shrinkToFit="1" readingOrder="2"/>
      <protection hidden="1"/>
    </xf>
    <xf numFmtId="1" fontId="7" fillId="22" borderId="4" xfId="0" applyNumberFormat="1" applyFont="1" applyFill="1" applyBorder="1" applyAlignment="1" applyProtection="1">
      <alignment horizontal="center" vertical="center" readingOrder="2"/>
      <protection hidden="1"/>
    </xf>
    <xf numFmtId="0" fontId="1" fillId="0" borderId="7" xfId="0" applyFont="1" applyBorder="1" applyAlignment="1" applyProtection="1">
      <alignment horizontal="center" vertical="center" readingOrder="2"/>
      <protection hidden="1"/>
    </xf>
    <xf numFmtId="1" fontId="1" fillId="0" borderId="7" xfId="0" applyNumberFormat="1" applyFont="1" applyBorder="1" applyAlignment="1" applyProtection="1">
      <alignment horizontal="center" vertical="center" readingOrder="2"/>
      <protection hidden="1"/>
    </xf>
    <xf numFmtId="0" fontId="1" fillId="2" borderId="49" xfId="0" applyFont="1" applyFill="1" applyBorder="1" applyAlignment="1" applyProtection="1">
      <alignment vertical="center" shrinkToFit="1" readingOrder="2"/>
      <protection hidden="1"/>
    </xf>
    <xf numFmtId="0" fontId="1" fillId="2" borderId="0" xfId="0" applyFont="1" applyFill="1" applyBorder="1" applyAlignment="1" applyProtection="1">
      <alignment vertical="center" shrinkToFit="1" readingOrder="2"/>
      <protection hidden="1"/>
    </xf>
    <xf numFmtId="0" fontId="2" fillId="2" borderId="0" xfId="0" applyFont="1" applyFill="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0" fillId="0" borderId="7" xfId="0" applyBorder="1" applyAlignment="1" applyProtection="1">
      <alignment horizontal="center" vertical="center"/>
      <protection hidden="1"/>
    </xf>
    <xf numFmtId="164" fontId="0" fillId="0" borderId="0" xfId="0" applyNumberFormat="1" applyAlignment="1" applyProtection="1">
      <alignment horizontal="center" vertical="center"/>
      <protection hidden="1"/>
    </xf>
    <xf numFmtId="164" fontId="0" fillId="0" borderId="7" xfId="0" applyNumberForma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10" fillId="9" borderId="13" xfId="0" applyFont="1" applyFill="1" applyBorder="1" applyAlignment="1" applyProtection="1">
      <alignment horizontal="center" vertical="center" shrinkToFit="1"/>
      <protection hidden="1"/>
    </xf>
    <xf numFmtId="0" fontId="10" fillId="9" borderId="14" xfId="0" applyFont="1" applyFill="1" applyBorder="1" applyAlignment="1" applyProtection="1">
      <alignment horizontal="center" vertical="center" shrinkToFit="1"/>
      <protection hidden="1"/>
    </xf>
    <xf numFmtId="0" fontId="10" fillId="9" borderId="15" xfId="0" applyFont="1" applyFill="1" applyBorder="1" applyAlignment="1" applyProtection="1">
      <alignment horizontal="center" vertical="center" shrinkToFit="1"/>
      <protection hidden="1"/>
    </xf>
    <xf numFmtId="0" fontId="10" fillId="9" borderId="14" xfId="0" applyFont="1" applyFill="1" applyBorder="1" applyAlignment="1" applyProtection="1">
      <alignment vertical="center" shrinkToFit="1"/>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 fontId="9" fillId="3" borderId="15" xfId="0" applyNumberFormat="1" applyFont="1" applyFill="1" applyBorder="1" applyAlignment="1" applyProtection="1">
      <alignment horizontal="center" vertical="center" shrinkToFit="1"/>
      <protection hidden="1"/>
    </xf>
    <xf numFmtId="0" fontId="0" fillId="0" borderId="36" xfId="0" applyBorder="1" applyAlignment="1" applyProtection="1">
      <alignment horizontal="center" vertical="center"/>
      <protection hidden="1"/>
    </xf>
    <xf numFmtId="164" fontId="10" fillId="3" borderId="2" xfId="0" applyNumberFormat="1" applyFont="1" applyFill="1" applyBorder="1" applyAlignment="1" applyProtection="1">
      <alignment horizontal="center" vertical="center" shrinkToFit="1" readingOrder="2"/>
      <protection hidden="1"/>
    </xf>
    <xf numFmtId="164" fontId="10" fillId="3" borderId="4" xfId="0" applyNumberFormat="1" applyFont="1" applyFill="1" applyBorder="1" applyAlignment="1" applyProtection="1">
      <alignment horizontal="center" vertical="center" shrinkToFit="1" readingOrder="2"/>
      <protection hidden="1"/>
    </xf>
    <xf numFmtId="164" fontId="10" fillId="3" borderId="6" xfId="0" applyNumberFormat="1" applyFont="1" applyFill="1" applyBorder="1" applyAlignment="1" applyProtection="1">
      <alignment horizontal="center" vertical="center" shrinkToFit="1" readingOrder="2"/>
      <protection hidden="1"/>
    </xf>
    <xf numFmtId="0" fontId="0" fillId="0" borderId="42" xfId="0" applyBorder="1" applyProtection="1">
      <protection hidden="1"/>
    </xf>
    <xf numFmtId="2" fontId="1" fillId="0" borderId="7" xfId="0" applyNumberFormat="1" applyFont="1" applyBorder="1" applyAlignment="1" applyProtection="1">
      <alignment horizontal="center" vertical="center"/>
      <protection hidden="1"/>
    </xf>
    <xf numFmtId="0" fontId="0" fillId="0" borderId="7" xfId="0" applyBorder="1" applyProtection="1">
      <protection hidden="1"/>
    </xf>
    <xf numFmtId="0" fontId="1" fillId="0" borderId="0" xfId="0" applyFont="1" applyFill="1" applyBorder="1" applyAlignment="1" applyProtection="1">
      <alignment horizontal="center" vertical="center" shrinkToFit="1"/>
      <protection hidden="1"/>
    </xf>
    <xf numFmtId="3" fontId="1" fillId="0" borderId="0" xfId="0" applyNumberFormat="1"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protection hidden="1"/>
    </xf>
    <xf numFmtId="0" fontId="1" fillId="3" borderId="15" xfId="0" applyFont="1" applyFill="1" applyBorder="1" applyAlignment="1" applyProtection="1">
      <alignment horizontal="center" vertical="center"/>
      <protection hidden="1"/>
    </xf>
    <xf numFmtId="0" fontId="1" fillId="3" borderId="42" xfId="0" applyFont="1" applyFill="1" applyBorder="1" applyAlignment="1" applyProtection="1">
      <alignment horizontal="center" vertical="center"/>
      <protection hidden="1"/>
    </xf>
    <xf numFmtId="0" fontId="1" fillId="3" borderId="13" xfId="0" applyFont="1" applyFill="1" applyBorder="1" applyAlignment="1" applyProtection="1">
      <alignment horizontal="center" vertical="center" shrinkToFit="1"/>
      <protection hidden="1"/>
    </xf>
    <xf numFmtId="3" fontId="1" fillId="17" borderId="15" xfId="0" applyNumberFormat="1" applyFont="1" applyFill="1" applyBorder="1" applyAlignment="1" applyProtection="1">
      <alignment horizontal="center" vertical="center"/>
      <protection hidden="1"/>
    </xf>
    <xf numFmtId="1" fontId="2" fillId="0" borderId="10" xfId="0" applyNumberFormat="1" applyFont="1" applyBorder="1" applyAlignment="1" applyProtection="1">
      <alignment horizontal="center" vertical="center"/>
      <protection hidden="1"/>
    </xf>
    <xf numFmtId="1" fontId="2" fillId="0" borderId="12" xfId="0" applyNumberFormat="1" applyFont="1" applyBorder="1" applyAlignment="1" applyProtection="1">
      <alignment horizontal="center" vertical="center"/>
      <protection hidden="1"/>
    </xf>
    <xf numFmtId="1" fontId="2" fillId="0" borderId="43" xfId="0" applyNumberFormat="1" applyFont="1" applyBorder="1" applyAlignment="1" applyProtection="1">
      <alignment horizontal="center" vertical="center"/>
      <protection hidden="1"/>
    </xf>
    <xf numFmtId="1" fontId="2" fillId="0" borderId="5" xfId="0" applyNumberFormat="1" applyFont="1" applyBorder="1" applyAlignment="1" applyProtection="1">
      <alignment horizontal="center" vertical="center"/>
      <protection hidden="1"/>
    </xf>
    <xf numFmtId="1" fontId="2" fillId="0" borderId="6" xfId="0" applyNumberFormat="1" applyFont="1" applyBorder="1" applyAlignment="1" applyProtection="1">
      <alignment horizontal="center" vertical="center"/>
      <protection hidden="1"/>
    </xf>
    <xf numFmtId="1" fontId="2" fillId="0" borderId="44" xfId="0" applyNumberFormat="1" applyFont="1" applyBorder="1" applyAlignment="1" applyProtection="1">
      <alignment horizontal="center" vertical="center"/>
      <protection hidden="1"/>
    </xf>
    <xf numFmtId="164" fontId="9" fillId="3" borderId="15" xfId="0" applyNumberFormat="1" applyFont="1" applyFill="1" applyBorder="1" applyAlignment="1" applyProtection="1">
      <alignment horizontal="center" vertical="center" shrinkToFit="1" readingOrder="2"/>
      <protection hidden="1"/>
    </xf>
    <xf numFmtId="1" fontId="1" fillId="6" borderId="17" xfId="0" applyNumberFormat="1" applyFont="1" applyFill="1" applyBorder="1" applyAlignment="1" applyProtection="1">
      <alignment horizontal="center" vertical="center"/>
      <protection hidden="1"/>
    </xf>
    <xf numFmtId="1" fontId="1" fillId="6" borderId="31" xfId="0" applyNumberFormat="1" applyFont="1" applyFill="1" applyBorder="1" applyAlignment="1" applyProtection="1">
      <alignment horizontal="center" vertical="center"/>
      <protection hidden="1"/>
    </xf>
    <xf numFmtId="0" fontId="5" fillId="0" borderId="41" xfId="0" applyFont="1" applyBorder="1" applyAlignment="1" applyProtection="1">
      <alignment horizontal="center"/>
      <protection hidden="1"/>
    </xf>
    <xf numFmtId="0" fontId="1" fillId="13" borderId="15" xfId="0" applyFont="1" applyFill="1" applyBorder="1" applyAlignment="1" applyProtection="1">
      <alignment horizontal="center" vertical="center"/>
      <protection hidden="1"/>
    </xf>
    <xf numFmtId="1" fontId="1" fillId="13" borderId="42" xfId="0" applyNumberFormat="1" applyFont="1" applyFill="1" applyBorder="1" applyAlignment="1" applyProtection="1">
      <alignment horizontal="center" vertical="center"/>
      <protection hidden="1"/>
    </xf>
    <xf numFmtId="1" fontId="1" fillId="3" borderId="2" xfId="0" applyNumberFormat="1"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hidden="1"/>
    </xf>
    <xf numFmtId="1" fontId="1" fillId="3" borderId="12" xfId="0" applyNumberFormat="1" applyFont="1" applyFill="1" applyBorder="1" applyAlignment="1" applyProtection="1">
      <alignment horizontal="center" vertical="center" shrinkToFit="1" readingOrder="2"/>
      <protection hidden="1"/>
    </xf>
    <xf numFmtId="3" fontId="1" fillId="3" borderId="4" xfId="0" applyNumberFormat="1"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hidden="1"/>
    </xf>
    <xf numFmtId="164" fontId="1" fillId="3" borderId="6" xfId="0" applyNumberFormat="1" applyFont="1" applyFill="1" applyBorder="1" applyAlignment="1" applyProtection="1">
      <alignment horizontal="center" vertical="center" shrinkToFit="1" readingOrder="2"/>
      <protection hidden="1"/>
    </xf>
    <xf numFmtId="1" fontId="1" fillId="3" borderId="4" xfId="0" applyNumberFormat="1" applyFont="1" applyFill="1" applyBorder="1" applyAlignment="1" applyProtection="1">
      <alignment horizontal="center" vertical="center" shrinkToFit="1" readingOrder="2"/>
      <protection hidden="1"/>
    </xf>
    <xf numFmtId="3" fontId="9" fillId="4" borderId="7" xfId="0" applyNumberFormat="1" applyFont="1" applyFill="1" applyBorder="1" applyAlignment="1" applyProtection="1">
      <alignment horizontal="center" vertical="center" shrinkToFit="1"/>
      <protection hidden="1"/>
    </xf>
    <xf numFmtId="1" fontId="9" fillId="4" borderId="7" xfId="0" applyNumberFormat="1" applyFont="1" applyFill="1" applyBorder="1" applyAlignment="1" applyProtection="1">
      <alignment horizontal="center" vertical="center" shrinkToFit="1"/>
      <protection hidden="1"/>
    </xf>
    <xf numFmtId="2" fontId="31" fillId="4" borderId="7" xfId="0" applyNumberFormat="1" applyFont="1" applyFill="1" applyBorder="1" applyAlignment="1" applyProtection="1">
      <alignment horizontal="center" vertical="center"/>
      <protection hidden="1"/>
    </xf>
    <xf numFmtId="2" fontId="31" fillId="0" borderId="7" xfId="0" applyNumberFormat="1" applyFont="1" applyBorder="1" applyAlignment="1" applyProtection="1">
      <alignment horizontal="center" vertical="center"/>
      <protection hidden="1"/>
    </xf>
    <xf numFmtId="0" fontId="34" fillId="0" borderId="0" xfId="0" applyFont="1" applyProtection="1">
      <protection hidden="1"/>
    </xf>
    <xf numFmtId="0" fontId="0" fillId="14" borderId="7" xfId="0" applyFill="1" applyBorder="1" applyAlignment="1" applyProtection="1">
      <alignment horizontal="center" vertical="center"/>
      <protection hidden="1"/>
    </xf>
    <xf numFmtId="164" fontId="0" fillId="14" borderId="7" xfId="0" applyNumberFormat="1" applyFill="1" applyBorder="1" applyAlignment="1" applyProtection="1">
      <alignment horizontal="center" vertical="center"/>
      <protection hidden="1"/>
    </xf>
    <xf numFmtId="0" fontId="31" fillId="3" borderId="7" xfId="0" applyFont="1" applyFill="1" applyBorder="1" applyAlignment="1" applyProtection="1">
      <alignment horizontal="center" vertical="center"/>
      <protection hidden="1"/>
    </xf>
    <xf numFmtId="0" fontId="31" fillId="15" borderId="7" xfId="0" applyFont="1" applyFill="1" applyBorder="1" applyAlignment="1" applyProtection="1">
      <alignment horizontal="center" vertical="center"/>
      <protection hidden="1"/>
    </xf>
    <xf numFmtId="0" fontId="31" fillId="14" borderId="7" xfId="0" applyFont="1" applyFill="1" applyBorder="1" applyAlignment="1" applyProtection="1">
      <alignment horizontal="center" vertical="center"/>
      <protection hidden="1"/>
    </xf>
    <xf numFmtId="3" fontId="0" fillId="14" borderId="0" xfId="0" applyNumberFormat="1" applyFill="1" applyProtection="1">
      <protection hidden="1"/>
    </xf>
    <xf numFmtId="0" fontId="36" fillId="23" borderId="7" xfId="0" applyFont="1" applyFill="1" applyBorder="1" applyAlignment="1" applyProtection="1">
      <alignment horizontal="center" vertical="center"/>
      <protection hidden="1"/>
    </xf>
    <xf numFmtId="0" fontId="34" fillId="14" borderId="0" xfId="0" applyFont="1" applyFill="1" applyProtection="1">
      <protection hidden="1"/>
    </xf>
    <xf numFmtId="0" fontId="38" fillId="14" borderId="0" xfId="0" applyFont="1" applyFill="1" applyProtection="1">
      <protection hidden="1"/>
    </xf>
    <xf numFmtId="0" fontId="38" fillId="0" borderId="0" xfId="0" applyFont="1" applyProtection="1">
      <protection hidden="1"/>
    </xf>
    <xf numFmtId="0" fontId="35" fillId="15" borderId="42" xfId="0" applyFont="1" applyFill="1" applyBorder="1" applyAlignment="1" applyProtection="1">
      <alignment horizontal="center" vertical="center"/>
      <protection hidden="1"/>
    </xf>
    <xf numFmtId="0" fontId="21" fillId="14" borderId="0" xfId="0" applyFont="1" applyFill="1" applyAlignment="1" applyProtection="1">
      <alignment vertical="center" shrinkToFit="1"/>
      <protection hidden="1"/>
    </xf>
    <xf numFmtId="0" fontId="0" fillId="2" borderId="21" xfId="0" applyFill="1" applyBorder="1" applyProtection="1">
      <protection hidden="1"/>
    </xf>
    <xf numFmtId="0" fontId="0" fillId="2" borderId="30" xfId="0" applyFill="1" applyBorder="1" applyProtection="1">
      <protection hidden="1"/>
    </xf>
    <xf numFmtId="0" fontId="0" fillId="2" borderId="11" xfId="0" applyFill="1" applyBorder="1" applyProtection="1">
      <protection hidden="1"/>
    </xf>
    <xf numFmtId="1" fontId="9" fillId="3" borderId="7" xfId="0" applyNumberFormat="1" applyFont="1" applyFill="1" applyBorder="1" applyAlignment="1" applyProtection="1">
      <alignment horizontal="center" vertical="center" shrinkToFit="1" readingOrder="2"/>
      <protection locked="0" hidden="1"/>
    </xf>
    <xf numFmtId="3" fontId="9" fillId="3" borderId="7" xfId="0" applyNumberFormat="1" applyFont="1" applyFill="1" applyBorder="1" applyAlignment="1" applyProtection="1">
      <alignment horizontal="center" vertical="center" shrinkToFit="1" readingOrder="2"/>
      <protection locked="0" hidden="1"/>
    </xf>
    <xf numFmtId="3" fontId="44" fillId="0" borderId="50" xfId="0" applyNumberFormat="1" applyFont="1" applyBorder="1" applyAlignment="1" applyProtection="1">
      <alignment horizontal="center" shrinkToFit="1"/>
      <protection hidden="1"/>
    </xf>
    <xf numFmtId="3" fontId="45" fillId="24" borderId="61" xfId="0" applyNumberFormat="1" applyFont="1" applyFill="1" applyBorder="1" applyAlignment="1" applyProtection="1">
      <alignment horizontal="center" vertical="center" shrinkToFit="1"/>
      <protection hidden="1"/>
    </xf>
    <xf numFmtId="0" fontId="43" fillId="0" borderId="7" xfId="0" applyFont="1" applyBorder="1" applyAlignment="1" applyProtection="1">
      <alignment horizontal="center" vertical="center"/>
      <protection hidden="1"/>
    </xf>
    <xf numFmtId="3" fontId="43" fillId="0" borderId="7" xfId="0" applyNumberFormat="1" applyFont="1" applyBorder="1" applyAlignment="1" applyProtection="1">
      <alignment horizontal="center" vertical="center"/>
      <protection hidden="1"/>
    </xf>
    <xf numFmtId="164" fontId="43" fillId="0" borderId="7" xfId="0" applyNumberFormat="1"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3" fontId="43" fillId="0" borderId="0" xfId="0" applyNumberFormat="1" applyFont="1" applyBorder="1" applyAlignment="1" applyProtection="1">
      <alignment horizontal="center" vertical="center"/>
      <protection hidden="1"/>
    </xf>
    <xf numFmtId="164" fontId="43" fillId="23" borderId="7" xfId="0" applyNumberFormat="1" applyFont="1" applyFill="1" applyBorder="1" applyAlignment="1" applyProtection="1">
      <alignment horizontal="center" vertical="center"/>
      <protection hidden="1"/>
    </xf>
    <xf numFmtId="0" fontId="43" fillId="14" borderId="7" xfId="0" applyFont="1" applyFill="1" applyBorder="1" applyAlignment="1" applyProtection="1">
      <alignment horizontal="center" vertical="center"/>
      <protection hidden="1"/>
    </xf>
    <xf numFmtId="3" fontId="44" fillId="3" borderId="50" xfId="0" applyNumberFormat="1" applyFont="1" applyFill="1" applyBorder="1" applyAlignment="1" applyProtection="1">
      <alignment horizontal="center" shrinkToFit="1"/>
      <protection hidden="1"/>
    </xf>
    <xf numFmtId="0" fontId="47" fillId="23" borderId="62" xfId="0" applyFont="1" applyFill="1" applyBorder="1" applyAlignment="1">
      <alignment horizontal="center" vertical="center" wrapText="1"/>
    </xf>
    <xf numFmtId="1" fontId="43" fillId="14" borderId="7" xfId="0" applyNumberFormat="1" applyFont="1" applyFill="1" applyBorder="1" applyAlignment="1" applyProtection="1">
      <alignment horizontal="center" vertical="center"/>
      <protection hidden="1"/>
    </xf>
    <xf numFmtId="3" fontId="45" fillId="0" borderId="7" xfId="0" applyNumberFormat="1" applyFont="1" applyBorder="1" applyAlignment="1" applyProtection="1">
      <alignment horizontal="center" vertical="center" shrinkToFit="1"/>
      <protection hidden="1"/>
    </xf>
    <xf numFmtId="3" fontId="45" fillId="0" borderId="61" xfId="0" applyNumberFormat="1" applyFont="1" applyFill="1" applyBorder="1" applyAlignment="1" applyProtection="1">
      <alignment horizontal="center" vertical="center" shrinkToFit="1"/>
      <protection hidden="1"/>
    </xf>
    <xf numFmtId="3" fontId="45" fillId="0" borderId="70" xfId="0" applyNumberFormat="1" applyFont="1" applyFill="1" applyBorder="1" applyAlignment="1" applyProtection="1">
      <alignment horizontal="center" vertical="center" shrinkToFit="1"/>
      <protection hidden="1"/>
    </xf>
    <xf numFmtId="0" fontId="0" fillId="0" borderId="0" xfId="0"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horizontal="justify" vertical="center" wrapText="1"/>
    </xf>
    <xf numFmtId="0" fontId="9" fillId="17" borderId="24" xfId="0" applyFont="1" applyFill="1" applyBorder="1" applyAlignment="1" applyProtection="1">
      <alignment horizontal="center" vertical="center" shrinkToFit="1"/>
      <protection hidden="1"/>
    </xf>
    <xf numFmtId="3" fontId="45" fillId="0" borderId="60" xfId="0" applyNumberFormat="1" applyFont="1" applyBorder="1" applyAlignment="1" applyProtection="1">
      <alignment horizontal="center" vertical="center" shrinkToFit="1"/>
      <protection hidden="1"/>
    </xf>
    <xf numFmtId="0" fontId="3" fillId="17" borderId="29" xfId="0" applyFont="1" applyFill="1" applyBorder="1" applyAlignment="1" applyProtection="1">
      <alignment horizontal="center" vertical="center" wrapText="1" shrinkToFit="1"/>
      <protection hidden="1"/>
    </xf>
    <xf numFmtId="3" fontId="9" fillId="6" borderId="7" xfId="0" applyNumberFormat="1" applyFont="1" applyFill="1" applyBorder="1" applyAlignment="1" applyProtection="1">
      <alignment horizontal="center" vertical="center" shrinkToFit="1"/>
      <protection hidden="1"/>
    </xf>
    <xf numFmtId="3" fontId="9" fillId="6" borderId="7" xfId="0" applyNumberFormat="1" applyFont="1" applyFill="1" applyBorder="1" applyAlignment="1" applyProtection="1">
      <alignment horizontal="center" vertical="center" wrapText="1" shrinkToFit="1" readingOrder="2"/>
      <protection hidden="1"/>
    </xf>
    <xf numFmtId="3" fontId="45" fillId="8" borderId="60" xfId="0" applyNumberFormat="1" applyFont="1" applyFill="1" applyBorder="1" applyAlignment="1" applyProtection="1">
      <alignment horizontal="center" vertical="center" shrinkToFit="1"/>
      <protection hidden="1"/>
    </xf>
    <xf numFmtId="165" fontId="45" fillId="8" borderId="60" xfId="0" applyNumberFormat="1" applyFont="1" applyFill="1" applyBorder="1" applyAlignment="1" applyProtection="1">
      <alignment horizontal="center" vertical="center" shrinkToFit="1"/>
      <protection hidden="1"/>
    </xf>
    <xf numFmtId="0" fontId="0" fillId="0" borderId="0" xfId="0" applyFill="1" applyProtection="1">
      <protection hidden="1"/>
    </xf>
    <xf numFmtId="0" fontId="16" fillId="0" borderId="0" xfId="0" applyFont="1" applyFill="1" applyAlignment="1" applyProtection="1">
      <alignment vertical="center" shrinkToFit="1"/>
      <protection hidden="1"/>
    </xf>
    <xf numFmtId="0" fontId="21" fillId="0" borderId="0" xfId="0" applyFont="1" applyFill="1" applyAlignment="1" applyProtection="1">
      <alignment vertical="center" shrinkToFit="1"/>
      <protection hidden="1"/>
    </xf>
    <xf numFmtId="0" fontId="40" fillId="0" borderId="0" xfId="0" applyFont="1" applyFill="1" applyBorder="1" applyAlignment="1" applyProtection="1">
      <alignment horizontal="center" vertical="center" shrinkToFit="1"/>
      <protection hidden="1"/>
    </xf>
    <xf numFmtId="0" fontId="5" fillId="0" borderId="0" xfId="0" applyFont="1" applyFill="1" applyAlignment="1" applyProtection="1">
      <alignment horizontal="center" vertical="center"/>
      <protection hidden="1"/>
    </xf>
    <xf numFmtId="0" fontId="3" fillId="0" borderId="0" xfId="0" applyFont="1" applyFill="1" applyAlignment="1" applyProtection="1">
      <alignment shrinkToFit="1"/>
      <protection hidden="1"/>
    </xf>
    <xf numFmtId="0" fontId="21" fillId="0" borderId="0" xfId="0" applyFont="1" applyFill="1" applyBorder="1" applyAlignment="1" applyProtection="1">
      <alignment vertical="center" shrinkToFit="1"/>
      <protection hidden="1"/>
    </xf>
    <xf numFmtId="0" fontId="2" fillId="0" borderId="0" xfId="0" applyFont="1" applyFill="1" applyProtection="1">
      <protection hidden="1"/>
    </xf>
    <xf numFmtId="0" fontId="34" fillId="0" borderId="0" xfId="0" applyFont="1" applyFill="1" applyProtection="1">
      <protection hidden="1"/>
    </xf>
    <xf numFmtId="0" fontId="38" fillId="0" borderId="0" xfId="0" applyFont="1" applyFill="1" applyProtection="1">
      <protection hidden="1"/>
    </xf>
    <xf numFmtId="3" fontId="44" fillId="17" borderId="7" xfId="0" applyNumberFormat="1" applyFont="1" applyFill="1" applyBorder="1" applyAlignment="1" applyProtection="1">
      <alignment horizontal="center" vertical="center" shrinkToFit="1"/>
      <protection hidden="1"/>
    </xf>
    <xf numFmtId="0" fontId="39" fillId="0" borderId="0" xfId="0" applyFont="1" applyFill="1" applyBorder="1" applyAlignment="1" applyProtection="1">
      <alignment horizontal="center" shrinkToFit="1"/>
      <protection hidden="1"/>
    </xf>
    <xf numFmtId="3" fontId="45" fillId="8" borderId="61" xfId="0" applyNumberFormat="1" applyFont="1" applyFill="1" applyBorder="1" applyAlignment="1" applyProtection="1">
      <alignment horizontal="center" vertical="center" shrinkToFit="1"/>
      <protection hidden="1"/>
    </xf>
    <xf numFmtId="0" fontId="47" fillId="23" borderId="7" xfId="0" applyFont="1" applyFill="1" applyBorder="1" applyAlignment="1">
      <alignment horizontal="center" vertical="center" wrapText="1"/>
    </xf>
    <xf numFmtId="0" fontId="20" fillId="10" borderId="27" xfId="0" applyFont="1" applyFill="1" applyBorder="1" applyAlignment="1" applyProtection="1">
      <alignment horizontal="center" vertical="center" shrinkToFit="1"/>
      <protection hidden="1"/>
    </xf>
    <xf numFmtId="0" fontId="20" fillId="10" borderId="0" xfId="0" applyFont="1" applyFill="1" applyBorder="1" applyAlignment="1" applyProtection="1">
      <alignment horizontal="center" vertical="center" shrinkToFit="1"/>
      <protection hidden="1"/>
    </xf>
    <xf numFmtId="0" fontId="20" fillId="10" borderId="28" xfId="0" applyFont="1" applyFill="1" applyBorder="1" applyAlignment="1" applyProtection="1">
      <alignment horizontal="center" vertical="center" shrinkToFit="1"/>
      <protection hidden="1"/>
    </xf>
    <xf numFmtId="0" fontId="18" fillId="10" borderId="29" xfId="0" applyFont="1" applyFill="1" applyBorder="1" applyAlignment="1" applyProtection="1">
      <alignment horizontal="center" vertical="center" shrinkToFit="1"/>
      <protection hidden="1"/>
    </xf>
    <xf numFmtId="0" fontId="18" fillId="10" borderId="24" xfId="0" applyFont="1" applyFill="1" applyBorder="1" applyAlignment="1" applyProtection="1">
      <alignment horizontal="center" vertical="center" shrinkToFit="1"/>
      <protection hidden="1"/>
    </xf>
    <xf numFmtId="0" fontId="18" fillId="10" borderId="25" xfId="0" applyFont="1" applyFill="1" applyBorder="1" applyAlignment="1" applyProtection="1">
      <alignment horizontal="center" vertical="center" shrinkToFit="1"/>
      <protection hidden="1"/>
    </xf>
    <xf numFmtId="0" fontId="18" fillId="23" borderId="58" xfId="0" applyFont="1" applyFill="1" applyBorder="1" applyAlignment="1" applyProtection="1">
      <alignment horizontal="center" vertical="center" shrinkToFit="1"/>
      <protection hidden="1"/>
    </xf>
    <xf numFmtId="0" fontId="18" fillId="23" borderId="75" xfId="0" applyFont="1" applyFill="1" applyBorder="1" applyAlignment="1" applyProtection="1">
      <alignment horizontal="center" vertical="center" shrinkToFit="1"/>
      <protection hidden="1"/>
    </xf>
    <xf numFmtId="0" fontId="46" fillId="0" borderId="53" xfId="0" applyFont="1" applyBorder="1" applyAlignment="1" applyProtection="1">
      <alignment horizontal="center" vertical="center" shrinkToFit="1"/>
      <protection hidden="1"/>
    </xf>
    <xf numFmtId="0" fontId="46" fillId="0" borderId="54" xfId="0" applyFont="1" applyBorder="1" applyAlignment="1" applyProtection="1">
      <alignment horizontal="center" vertical="center" shrinkToFit="1"/>
      <protection hidden="1"/>
    </xf>
    <xf numFmtId="0" fontId="46" fillId="0" borderId="58" xfId="0" applyFont="1" applyBorder="1" applyAlignment="1" applyProtection="1">
      <alignment horizontal="center" vertical="center" shrinkToFit="1"/>
      <protection hidden="1"/>
    </xf>
    <xf numFmtId="0" fontId="46" fillId="0" borderId="52" xfId="0" applyFont="1" applyFill="1" applyBorder="1" applyAlignment="1" applyProtection="1">
      <alignment horizontal="center" vertical="center" shrinkToFit="1"/>
      <protection hidden="1"/>
    </xf>
    <xf numFmtId="0" fontId="46" fillId="0" borderId="51" xfId="0" applyFont="1" applyFill="1" applyBorder="1" applyAlignment="1" applyProtection="1">
      <alignment horizontal="center" vertical="center" shrinkToFit="1"/>
      <protection hidden="1"/>
    </xf>
    <xf numFmtId="0" fontId="46" fillId="0" borderId="59" xfId="0" applyFont="1" applyFill="1" applyBorder="1" applyAlignment="1" applyProtection="1">
      <alignment horizontal="center" vertical="center" shrinkToFit="1"/>
      <protection hidden="1"/>
    </xf>
    <xf numFmtId="0" fontId="46" fillId="0" borderId="67" xfId="0" applyFont="1" applyFill="1" applyBorder="1" applyAlignment="1" applyProtection="1">
      <alignment horizontal="center" vertical="center" shrinkToFit="1"/>
      <protection hidden="1"/>
    </xf>
    <xf numFmtId="0" fontId="46" fillId="0" borderId="68" xfId="0" applyFont="1" applyFill="1" applyBorder="1" applyAlignment="1" applyProtection="1">
      <alignment horizontal="center" vertical="center" shrinkToFit="1"/>
      <protection hidden="1"/>
    </xf>
    <xf numFmtId="0" fontId="46" fillId="0" borderId="69" xfId="0" applyFont="1" applyFill="1" applyBorder="1" applyAlignment="1" applyProtection="1">
      <alignment horizontal="center" vertical="center" shrinkToFit="1"/>
      <protection hidden="1"/>
    </xf>
    <xf numFmtId="0" fontId="9" fillId="6" borderId="7" xfId="0" applyFont="1" applyFill="1" applyBorder="1" applyAlignment="1" applyProtection="1">
      <alignment horizontal="center" vertical="center" wrapText="1" shrinkToFit="1"/>
      <protection hidden="1"/>
    </xf>
    <xf numFmtId="0" fontId="9" fillId="6" borderId="7" xfId="0" applyFont="1" applyFill="1" applyBorder="1" applyAlignment="1" applyProtection="1">
      <alignment horizontal="center" vertical="center" shrinkToFit="1"/>
      <protection hidden="1"/>
    </xf>
    <xf numFmtId="0" fontId="23" fillId="17" borderId="55" xfId="0" applyFont="1" applyFill="1" applyBorder="1" applyAlignment="1" applyProtection="1">
      <alignment horizontal="center" vertical="center" shrinkToFit="1"/>
      <protection hidden="1"/>
    </xf>
    <xf numFmtId="0" fontId="23" fillId="17" borderId="56" xfId="0" applyFont="1" applyFill="1" applyBorder="1" applyAlignment="1" applyProtection="1">
      <alignment horizontal="center" vertical="center" shrinkToFit="1"/>
      <protection hidden="1"/>
    </xf>
    <xf numFmtId="0" fontId="23" fillId="17" borderId="57" xfId="0" applyFont="1" applyFill="1" applyBorder="1" applyAlignment="1" applyProtection="1">
      <alignment horizontal="center" vertical="center" shrinkToFit="1"/>
      <protection hidden="1"/>
    </xf>
    <xf numFmtId="0" fontId="41" fillId="10" borderId="22" xfId="0" applyFont="1" applyFill="1" applyBorder="1" applyAlignment="1" applyProtection="1">
      <alignment horizontal="center" vertical="center" shrinkToFit="1"/>
      <protection hidden="1"/>
    </xf>
    <xf numFmtId="0" fontId="41" fillId="10" borderId="23" xfId="0" applyFont="1" applyFill="1" applyBorder="1" applyAlignment="1" applyProtection="1">
      <alignment horizontal="center" vertical="center" shrinkToFit="1"/>
      <protection hidden="1"/>
    </xf>
    <xf numFmtId="0" fontId="41" fillId="10" borderId="26" xfId="0" applyFont="1" applyFill="1" applyBorder="1" applyAlignment="1" applyProtection="1">
      <alignment horizontal="center" vertical="center" shrinkToFit="1"/>
      <protection hidden="1"/>
    </xf>
    <xf numFmtId="0" fontId="46" fillId="24" borderId="52" xfId="0" applyFont="1" applyFill="1" applyBorder="1" applyAlignment="1" applyProtection="1">
      <alignment horizontal="center" vertical="center" shrinkToFit="1"/>
      <protection hidden="1"/>
    </xf>
    <xf numFmtId="0" fontId="46" fillId="24" borderId="51" xfId="0" applyFont="1" applyFill="1" applyBorder="1" applyAlignment="1" applyProtection="1">
      <alignment horizontal="center" vertical="center" shrinkToFit="1"/>
      <protection hidden="1"/>
    </xf>
    <xf numFmtId="0" fontId="46" fillId="24" borderId="59" xfId="0" applyFont="1" applyFill="1" applyBorder="1" applyAlignment="1" applyProtection="1">
      <alignment horizontal="center" vertical="center" shrinkToFit="1"/>
      <protection hidden="1"/>
    </xf>
    <xf numFmtId="3" fontId="9" fillId="17" borderId="21" xfId="0" applyNumberFormat="1" applyFont="1" applyFill="1" applyBorder="1" applyAlignment="1" applyProtection="1">
      <alignment horizontal="center" vertical="center" wrapText="1" shrinkToFit="1" readingOrder="2"/>
      <protection hidden="1"/>
    </xf>
    <xf numFmtId="3" fontId="9" fillId="17" borderId="11" xfId="0" applyNumberFormat="1" applyFont="1" applyFill="1" applyBorder="1" applyAlignment="1" applyProtection="1">
      <alignment horizontal="center" vertical="center" wrapText="1" shrinkToFit="1" readingOrder="2"/>
      <protection hidden="1"/>
    </xf>
    <xf numFmtId="0" fontId="52" fillId="0" borderId="0" xfId="0" applyFont="1" applyFill="1" applyAlignment="1" applyProtection="1">
      <alignment horizontal="center" vertical="center" shrinkToFit="1"/>
      <protection hidden="1"/>
    </xf>
    <xf numFmtId="0" fontId="55" fillId="0" borderId="0" xfId="0" applyFont="1" applyFill="1" applyAlignment="1" applyProtection="1">
      <alignment horizontal="center" vertical="center" shrinkToFit="1"/>
      <protection hidden="1"/>
    </xf>
    <xf numFmtId="0" fontId="51" fillId="0" borderId="0" xfId="0" applyFont="1" applyFill="1" applyBorder="1" applyAlignment="1" applyProtection="1">
      <alignment horizontal="center" vertical="center" shrinkToFit="1"/>
      <protection hidden="1"/>
    </xf>
    <xf numFmtId="0" fontId="10" fillId="6" borderId="7" xfId="0" applyFont="1" applyFill="1" applyBorder="1" applyAlignment="1" applyProtection="1">
      <alignment horizontal="center" vertical="center" shrinkToFit="1" readingOrder="2"/>
      <protection hidden="1"/>
    </xf>
    <xf numFmtId="0" fontId="37" fillId="17" borderId="22" xfId="0" applyFont="1" applyFill="1" applyBorder="1" applyAlignment="1" applyProtection="1">
      <alignment horizontal="center" vertical="center" wrapText="1" shrinkToFit="1"/>
      <protection hidden="1"/>
    </xf>
    <xf numFmtId="0" fontId="9" fillId="17" borderId="23" xfId="0" applyFont="1" applyFill="1" applyBorder="1" applyAlignment="1" applyProtection="1">
      <alignment horizontal="center" vertical="center" shrinkToFit="1"/>
      <protection hidden="1"/>
    </xf>
    <xf numFmtId="0" fontId="46" fillId="8" borderId="53" xfId="0" applyFont="1" applyFill="1" applyBorder="1" applyAlignment="1" applyProtection="1">
      <alignment horizontal="center" vertical="center" shrinkToFit="1"/>
      <protection hidden="1"/>
    </xf>
    <xf numFmtId="0" fontId="46" fillId="8" borderId="54" xfId="0" applyFont="1" applyFill="1" applyBorder="1" applyAlignment="1" applyProtection="1">
      <alignment horizontal="center" vertical="center" shrinkToFit="1"/>
      <protection hidden="1"/>
    </xf>
    <xf numFmtId="0" fontId="46" fillId="8" borderId="58" xfId="0" applyFont="1" applyFill="1" applyBorder="1" applyAlignment="1" applyProtection="1">
      <alignment horizontal="center" vertical="center" shrinkToFit="1"/>
      <protection hidden="1"/>
    </xf>
    <xf numFmtId="0" fontId="21" fillId="6" borderId="19" xfId="0" applyFont="1" applyFill="1" applyBorder="1" applyAlignment="1" applyProtection="1">
      <alignment horizontal="center" vertical="center" shrinkToFit="1"/>
      <protection hidden="1"/>
    </xf>
    <xf numFmtId="0" fontId="21" fillId="6" borderId="20" xfId="0" applyFont="1" applyFill="1" applyBorder="1" applyAlignment="1" applyProtection="1">
      <alignment horizontal="center" vertical="center" shrinkToFit="1"/>
      <protection hidden="1"/>
    </xf>
    <xf numFmtId="3" fontId="9" fillId="17" borderId="7" xfId="0" applyNumberFormat="1" applyFont="1" applyFill="1" applyBorder="1" applyAlignment="1" applyProtection="1">
      <alignment horizontal="center" vertical="center" shrinkToFit="1"/>
      <protection hidden="1"/>
    </xf>
    <xf numFmtId="0" fontId="46" fillId="8" borderId="52" xfId="0" applyFont="1" applyFill="1" applyBorder="1" applyAlignment="1" applyProtection="1">
      <alignment horizontal="center" vertical="center" shrinkToFit="1"/>
      <protection hidden="1"/>
    </xf>
    <xf numFmtId="0" fontId="46" fillId="8" borderId="51" xfId="0" applyFont="1" applyFill="1" applyBorder="1" applyAlignment="1" applyProtection="1">
      <alignment horizontal="center" vertical="center" shrinkToFit="1"/>
      <protection hidden="1"/>
    </xf>
    <xf numFmtId="0" fontId="46" fillId="8" borderId="59" xfId="0" applyFont="1" applyFill="1" applyBorder="1" applyAlignment="1" applyProtection="1">
      <alignment horizontal="center" vertical="center" shrinkToFit="1"/>
      <protection hidden="1"/>
    </xf>
    <xf numFmtId="0" fontId="18" fillId="23" borderId="72" xfId="1" applyFont="1" applyFill="1" applyBorder="1" applyAlignment="1" applyProtection="1">
      <alignment horizontal="center" vertical="center" shrinkToFit="1"/>
      <protection hidden="1"/>
    </xf>
    <xf numFmtId="0" fontId="18" fillId="23" borderId="73" xfId="1" applyFont="1" applyFill="1" applyBorder="1" applyAlignment="1" applyProtection="1">
      <alignment horizontal="center" vertical="center" shrinkToFit="1"/>
      <protection hidden="1"/>
    </xf>
    <xf numFmtId="0" fontId="18" fillId="23" borderId="74" xfId="1" applyFont="1" applyFill="1" applyBorder="1" applyAlignment="1" applyProtection="1">
      <alignment horizontal="center" vertical="center" shrinkToFit="1"/>
      <protection hidden="1"/>
    </xf>
    <xf numFmtId="0" fontId="18" fillId="23" borderId="71" xfId="1" applyFont="1" applyFill="1" applyBorder="1" applyAlignment="1" applyProtection="1">
      <alignment horizontal="center" vertical="center" shrinkToFit="1"/>
      <protection hidden="1"/>
    </xf>
    <xf numFmtId="0" fontId="10" fillId="6" borderId="19" xfId="0" applyFont="1" applyFill="1" applyBorder="1" applyAlignment="1" applyProtection="1">
      <alignment horizontal="center" vertical="center" shrinkToFit="1" readingOrder="2"/>
      <protection hidden="1"/>
    </xf>
    <xf numFmtId="0" fontId="10" fillId="6" borderId="20" xfId="0" applyFont="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left" vertical="center" readingOrder="2"/>
      <protection hidden="1"/>
    </xf>
    <xf numFmtId="0" fontId="47" fillId="23" borderId="63" xfId="0" applyFont="1" applyFill="1" applyBorder="1" applyAlignment="1">
      <alignment horizontal="center" vertical="center" wrapText="1"/>
    </xf>
    <xf numFmtId="0" fontId="47" fillId="23" borderId="64" xfId="0" applyFont="1" applyFill="1" applyBorder="1" applyAlignment="1">
      <alignment horizontal="center" vertical="center" wrapText="1"/>
    </xf>
    <xf numFmtId="0" fontId="47" fillId="23" borderId="65" xfId="0" applyFont="1" applyFill="1" applyBorder="1" applyAlignment="1">
      <alignment horizontal="center" vertical="center" wrapText="1"/>
    </xf>
    <xf numFmtId="0" fontId="47" fillId="23" borderId="66" xfId="0" applyFont="1" applyFill="1" applyBorder="1" applyAlignment="1">
      <alignment horizontal="center" vertical="center" wrapText="1"/>
    </xf>
    <xf numFmtId="0" fontId="15" fillId="14" borderId="0" xfId="0" applyFont="1" applyFill="1" applyBorder="1" applyAlignment="1" applyProtection="1">
      <alignment horizontal="center" shrinkToFit="1"/>
      <protection hidden="1"/>
    </xf>
    <xf numFmtId="0" fontId="15" fillId="14" borderId="0" xfId="0" applyFont="1" applyFill="1" applyBorder="1" applyAlignment="1" applyProtection="1">
      <alignment horizontal="center" wrapText="1" shrinkToFit="1"/>
      <protection hidden="1"/>
    </xf>
    <xf numFmtId="0" fontId="15" fillId="14" borderId="46" xfId="0" applyFont="1" applyFill="1" applyBorder="1" applyAlignment="1" applyProtection="1">
      <alignment horizontal="center" wrapText="1"/>
      <protection hidden="1"/>
    </xf>
    <xf numFmtId="0" fontId="15" fillId="14" borderId="45" xfId="0" applyFont="1" applyFill="1" applyBorder="1" applyAlignment="1" applyProtection="1">
      <alignment horizontal="center" wrapText="1"/>
      <protection hidden="1"/>
    </xf>
    <xf numFmtId="0" fontId="17" fillId="18" borderId="47" xfId="0" applyFont="1" applyFill="1" applyBorder="1" applyAlignment="1" applyProtection="1">
      <alignment horizontal="center" vertical="center" shrinkToFit="1"/>
      <protection hidden="1"/>
    </xf>
    <xf numFmtId="0" fontId="17" fillId="18" borderId="48" xfId="0" applyFont="1" applyFill="1" applyBorder="1" applyAlignment="1" applyProtection="1">
      <alignment horizontal="center" vertical="center" shrinkToFit="1"/>
      <protection hidden="1"/>
    </xf>
    <xf numFmtId="0" fontId="1" fillId="3" borderId="7" xfId="0" applyFont="1" applyFill="1" applyBorder="1" applyAlignment="1" applyProtection="1">
      <alignment horizontal="center" vertical="center" shrinkToFit="1"/>
      <protection hidden="1"/>
    </xf>
    <xf numFmtId="0" fontId="22" fillId="21" borderId="1" xfId="0" applyFont="1" applyFill="1" applyBorder="1" applyAlignment="1" applyProtection="1">
      <alignment horizontal="center" vertical="center" wrapText="1" shrinkToFit="1"/>
      <protection hidden="1"/>
    </xf>
    <xf numFmtId="0" fontId="22" fillId="21" borderId="2" xfId="0" applyFont="1" applyFill="1" applyBorder="1" applyAlignment="1" applyProtection="1">
      <alignment horizontal="center" vertical="center" shrinkToFit="1"/>
      <protection hidden="1"/>
    </xf>
    <xf numFmtId="0" fontId="5" fillId="11" borderId="13" xfId="0" applyFont="1" applyFill="1" applyBorder="1" applyAlignment="1" applyProtection="1">
      <alignment horizontal="center"/>
      <protection hidden="1"/>
    </xf>
    <xf numFmtId="0" fontId="5" fillId="11" borderId="14" xfId="0" applyFont="1" applyFill="1" applyBorder="1" applyAlignment="1" applyProtection="1">
      <alignment horizontal="center"/>
      <protection hidden="1"/>
    </xf>
    <xf numFmtId="0" fontId="5" fillId="13" borderId="13" xfId="0" applyFont="1" applyFill="1" applyBorder="1" applyAlignment="1" applyProtection="1">
      <alignment horizontal="center"/>
      <protection hidden="1"/>
    </xf>
    <xf numFmtId="0" fontId="5" fillId="13" borderId="14" xfId="0" applyFont="1" applyFill="1" applyBorder="1" applyAlignment="1" applyProtection="1">
      <alignment horizontal="center"/>
      <protection hidden="1"/>
    </xf>
    <xf numFmtId="0" fontId="5" fillId="7" borderId="1" xfId="0" applyFont="1" applyFill="1" applyBorder="1" applyAlignment="1" applyProtection="1">
      <alignment horizontal="center"/>
      <protection hidden="1"/>
    </xf>
    <xf numFmtId="0" fontId="5" fillId="7" borderId="8" xfId="0" applyFont="1" applyFill="1" applyBorder="1" applyAlignment="1" applyProtection="1">
      <alignment horizontal="center"/>
      <protection hidden="1"/>
    </xf>
    <xf numFmtId="0" fontId="5" fillId="7" borderId="2" xfId="0" applyFont="1" applyFill="1" applyBorder="1" applyAlignment="1" applyProtection="1">
      <alignment horizontal="center"/>
      <protection hidden="1"/>
    </xf>
    <xf numFmtId="0" fontId="5" fillId="3" borderId="32" xfId="0" applyFont="1" applyFill="1" applyBorder="1" applyAlignment="1" applyProtection="1">
      <alignment horizontal="center"/>
      <protection hidden="1"/>
    </xf>
    <xf numFmtId="0" fontId="5" fillId="3" borderId="35" xfId="0" applyFont="1" applyFill="1" applyBorder="1" applyAlignment="1" applyProtection="1">
      <alignment horizontal="center"/>
      <protection hidden="1"/>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1" fillId="8" borderId="10" xfId="0" applyFont="1" applyFill="1" applyBorder="1" applyAlignment="1" applyProtection="1">
      <alignment horizontal="center" vertical="center" shrinkToFit="1" readingOrder="2"/>
      <protection hidden="1"/>
    </xf>
    <xf numFmtId="0" fontId="1" fillId="8" borderId="11" xfId="0" applyFont="1" applyFill="1" applyBorder="1" applyAlignment="1" applyProtection="1">
      <alignment horizontal="center" vertical="center" shrinkToFit="1" readingOrder="2"/>
      <protection hidden="1"/>
    </xf>
    <xf numFmtId="0" fontId="23" fillId="2" borderId="0" xfId="0" applyFont="1" applyFill="1" applyAlignment="1" applyProtection="1">
      <alignment horizontal="center" readingOrder="2"/>
      <protection hidden="1"/>
    </xf>
    <xf numFmtId="0" fontId="25" fillId="2" borderId="0" xfId="0" applyFont="1" applyFill="1" applyAlignment="1" applyProtection="1">
      <alignment horizontal="center" vertical="center" readingOrder="2"/>
      <protection hidden="1"/>
    </xf>
    <xf numFmtId="0" fontId="7" fillId="2" borderId="0" xfId="0" applyFont="1" applyFill="1" applyAlignment="1" applyProtection="1">
      <alignment horizontal="center" vertical="center" readingOrder="2"/>
      <protection hidden="1"/>
    </xf>
    <xf numFmtId="0" fontId="1" fillId="7" borderId="13" xfId="0" applyFont="1" applyFill="1" applyBorder="1" applyAlignment="1" applyProtection="1">
      <alignment horizontal="center" vertical="center" shrinkToFit="1" readingOrder="2"/>
      <protection hidden="1"/>
    </xf>
    <xf numFmtId="0" fontId="1" fillId="7" borderId="14"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8" borderId="1" xfId="0" applyFont="1" applyFill="1" applyBorder="1" applyAlignment="1" applyProtection="1">
      <alignment horizontal="center" vertical="center" shrinkToFit="1" readingOrder="2"/>
      <protection hidden="1"/>
    </xf>
    <xf numFmtId="0" fontId="1" fillId="8" borderId="8" xfId="0" applyFont="1" applyFill="1" applyBorder="1" applyAlignment="1" applyProtection="1">
      <alignment horizontal="center" vertical="center" shrinkToFit="1" readingOrder="2"/>
      <protection hidden="1"/>
    </xf>
    <xf numFmtId="0" fontId="1" fillId="8" borderId="3" xfId="0" applyFont="1" applyFill="1" applyBorder="1" applyAlignment="1" applyProtection="1">
      <alignment horizontal="center" vertical="center" shrinkToFit="1" readingOrder="2"/>
      <protection hidden="1"/>
    </xf>
    <xf numFmtId="0" fontId="1" fillId="8" borderId="9" xfId="0" applyFont="1" applyFill="1" applyBorder="1" applyAlignment="1" applyProtection="1">
      <alignment horizontal="center" vertical="center" shrinkToFit="1" readingOrder="2"/>
      <protection hidden="1"/>
    </xf>
    <xf numFmtId="2" fontId="27" fillId="2" borderId="0" xfId="1" applyNumberFormat="1" applyFont="1" applyFill="1" applyBorder="1" applyAlignment="1" applyProtection="1">
      <alignment horizontal="center" wrapText="1" shrinkToFit="1" readingOrder="2"/>
      <protection hidden="1"/>
    </xf>
    <xf numFmtId="0" fontId="1" fillId="8" borderId="5" xfId="0" applyFont="1" applyFill="1" applyBorder="1" applyAlignment="1" applyProtection="1">
      <alignment horizontal="center" vertical="center" shrinkToFit="1" readingOrder="2"/>
      <protection hidden="1"/>
    </xf>
    <xf numFmtId="0" fontId="1" fillId="8" borderId="7" xfId="0" applyFont="1" applyFill="1" applyBorder="1" applyAlignment="1" applyProtection="1">
      <alignment horizontal="center" vertical="center" shrinkToFit="1" readingOrder="2"/>
      <protection hidden="1"/>
    </xf>
    <xf numFmtId="0" fontId="6" fillId="2" borderId="0" xfId="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4" fillId="2" borderId="0" xfId="0" applyFont="1" applyFill="1" applyBorder="1" applyAlignment="1" applyProtection="1">
      <alignment horizontal="center" vertical="center" shrinkToFit="1" readingOrder="2"/>
      <protection hidden="1"/>
    </xf>
    <xf numFmtId="0" fontId="28" fillId="2" borderId="0" xfId="0" applyFont="1" applyFill="1" applyBorder="1" applyAlignment="1" applyProtection="1">
      <alignment horizontal="center" vertical="center" shrinkToFit="1" readingOrder="2"/>
      <protection hidden="1"/>
    </xf>
    <xf numFmtId="0" fontId="29" fillId="2" borderId="0" xfId="0" applyFont="1" applyFill="1" applyBorder="1" applyAlignment="1" applyProtection="1">
      <alignment horizontal="center" vertical="center" shrinkToFit="1" readingOrder="2"/>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جدول محاسبات'!$AR$7" lockText="1" noThreeD="1"/>
</file>

<file path=xl/ctrlProps/ctrlProp2.xml><?xml version="1.0" encoding="utf-8"?>
<formControlPr xmlns="http://schemas.microsoft.com/office/spreadsheetml/2009/9/main" objectType="CheckBox" checked="Checked" fmlaLink="'جدول محاسبات'!$AR$6" lockText="1" noThreeD="1"/>
</file>

<file path=xl/ctrlProps/ctrlProp3.xml><?xml version="1.0" encoding="utf-8"?>
<formControlPr xmlns="http://schemas.microsoft.com/office/spreadsheetml/2009/9/main" objectType="Radio" checked="Checked" firstButton="1" fmlaLink="'جدول محاسبات'!$AR$2"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جدول محاسبات'!$AR$4" lockText="1" noThreeD="1"/>
</file>

<file path=xl/ctrlProps/ctrlProp6.xml><?xml version="1.0" encoding="utf-8"?>
<formControlPr xmlns="http://schemas.microsoft.com/office/spreadsheetml/2009/9/main" objectType="CheckBox" checked="Checked" fmlaLink="'جدول محاسبات'!$AR$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27</xdr:row>
      <xdr:rowOff>133351</xdr:rowOff>
    </xdr:from>
    <xdr:to>
      <xdr:col>1</xdr:col>
      <xdr:colOff>2343151</xdr:colOff>
      <xdr:row>30</xdr:row>
      <xdr:rowOff>114301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63264874" y="8477251"/>
          <a:ext cx="2266951" cy="952500"/>
        </a:xfrm>
        <a:prstGeom prst="rect">
          <a:avLst/>
        </a:prstGeom>
      </xdr:spPr>
    </xdr:pic>
    <xdr:clientData/>
  </xdr:twoCellAnchor>
  <xdr:twoCellAnchor>
    <xdr:from>
      <xdr:col>4</xdr:col>
      <xdr:colOff>180977</xdr:colOff>
      <xdr:row>8</xdr:row>
      <xdr:rowOff>76204</xdr:rowOff>
    </xdr:from>
    <xdr:to>
      <xdr:col>6</xdr:col>
      <xdr:colOff>1447800</xdr:colOff>
      <xdr:row>9</xdr:row>
      <xdr:rowOff>485776</xdr:rowOff>
    </xdr:to>
    <xdr:sp macro="" textlink="">
      <xdr:nvSpPr>
        <xdr:cNvPr id="7" name="Arrow: Chevron 6">
          <a:extLst>
            <a:ext uri="{FF2B5EF4-FFF2-40B4-BE49-F238E27FC236}">
              <a16:creationId xmlns:a16="http://schemas.microsoft.com/office/drawing/2014/main" id="{00000000-0008-0000-0000-000007000000}"/>
            </a:ext>
          </a:extLst>
        </xdr:cNvPr>
        <xdr:cNvSpPr/>
      </xdr:nvSpPr>
      <xdr:spPr>
        <a:xfrm rot="5400000">
          <a:off x="11259359625" y="685804"/>
          <a:ext cx="628647" cy="3943348"/>
        </a:xfrm>
        <a:prstGeom prst="chevron">
          <a:avLst/>
        </a:prstGeom>
      </xdr:spPr>
      <xdr:style>
        <a:lnRef idx="0">
          <a:schemeClr val="accent3"/>
        </a:lnRef>
        <a:fillRef idx="3">
          <a:schemeClr val="accent3"/>
        </a:fillRef>
        <a:effectRef idx="3">
          <a:schemeClr val="accent3"/>
        </a:effectRef>
        <a:fontRef idx="minor">
          <a:schemeClr val="lt1"/>
        </a:fontRef>
      </xdr:style>
      <xdr:txBody>
        <a:bodyPr vert="vert270" rtlCol="0" anchor="ctr"/>
        <a:lstStyle/>
        <a:p>
          <a:pPr algn="r" rtl="1"/>
          <a:endParaRPr lang="fa-IR"/>
        </a:p>
      </xdr:txBody>
    </xdr:sp>
    <xdr:clientData/>
  </xdr:twoCellAnchor>
  <xdr:twoCellAnchor>
    <xdr:from>
      <xdr:col>5</xdr:col>
      <xdr:colOff>123825</xdr:colOff>
      <xdr:row>9</xdr:row>
      <xdr:rowOff>123825</xdr:rowOff>
    </xdr:from>
    <xdr:to>
      <xdr:col>6</xdr:col>
      <xdr:colOff>285750</xdr:colOff>
      <xdr:row>9</xdr:row>
      <xdr:rowOff>447675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258816700" y="2609850"/>
          <a:ext cx="1714500" cy="32385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1"/>
          <a:r>
            <a:rPr lang="fa-IR" sz="1600" b="1">
              <a:cs typeface="B Koodak" panose="00000700000000000000" pitchFamily="2" charset="-78"/>
            </a:rPr>
            <a:t>نتایج محاسبات</a:t>
          </a:r>
          <a:endParaRPr lang="en-US" sz="1600" b="1">
            <a:cs typeface="B Koodak" panose="00000700000000000000" pitchFamily="2" charset="-78"/>
          </a:endParaRPr>
        </a:p>
      </xdr:txBody>
    </xdr:sp>
    <xdr:clientData/>
  </xdr:twoCellAnchor>
  <mc:AlternateContent xmlns:mc="http://schemas.openxmlformats.org/markup-compatibility/2006">
    <mc:Choice xmlns:a14="http://schemas.microsoft.com/office/drawing/2010/main" Requires="a14">
      <xdr:twoCellAnchor editAs="oneCell">
        <xdr:from>
          <xdr:col>1</xdr:col>
          <xdr:colOff>495300</xdr:colOff>
          <xdr:row>4</xdr:row>
          <xdr:rowOff>66675</xdr:rowOff>
        </xdr:from>
        <xdr:to>
          <xdr:col>4</xdr:col>
          <xdr:colOff>85725</xdr:colOff>
          <xdr:row>5</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FF" mc:Ignorable="a14" a14:legacySpreadsheetColorIndex="33"/>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بیش از دو سال سابقه بیمه پردازی دارم. (بیش از ۷۲۰ روز)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504825</xdr:colOff>
          <xdr:row>3</xdr:row>
          <xdr:rowOff>19050</xdr:rowOff>
        </xdr:from>
        <xdr:to>
          <xdr:col>2</xdr:col>
          <xdr:colOff>609600</xdr:colOff>
          <xdr:row>3</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FF" mc:Ignorable="a14" a14:legacySpreadsheetColorIndex="33"/>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بیش از یک سال در کارگاه فعلی سابقه کار دارم.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2295525</xdr:colOff>
          <xdr:row>12</xdr:row>
          <xdr:rowOff>9525</xdr:rowOff>
        </xdr:from>
        <xdr:to>
          <xdr:col>2</xdr:col>
          <xdr:colOff>942975</xdr:colOff>
          <xdr:row>12</xdr:row>
          <xdr:rowOff>257175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سی روز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12</xdr:row>
          <xdr:rowOff>9525</xdr:rowOff>
        </xdr:from>
        <xdr:to>
          <xdr:col>4</xdr:col>
          <xdr:colOff>114300</xdr:colOff>
          <xdr:row>12</xdr:row>
          <xdr:rowOff>257175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سی و یک روز</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9525</xdr:colOff>
          <xdr:row>30</xdr:row>
          <xdr:rowOff>0</xdr:rowOff>
        </xdr:from>
        <xdr:to>
          <xdr:col>42</xdr:col>
          <xdr:colOff>714375</xdr:colOff>
          <xdr:row>30</xdr:row>
          <xdr:rowOff>247650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محاسبات بر مبنای ۳۱ روز کاری صورت پذیرد.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xdr:row>
          <xdr:rowOff>76200</xdr:rowOff>
        </xdr:from>
        <xdr:to>
          <xdr:col>3</xdr:col>
          <xdr:colOff>523875</xdr:colOff>
          <xdr:row>4</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0" tIns="18288" rIns="27432" bIns="18288" anchor="ctr" upright="1"/>
            <a:lstStyle/>
            <a:p>
              <a:pPr algn="r" rtl="1">
                <a:defRPr sz="1000"/>
              </a:pPr>
              <a:r>
                <a:rPr lang="fa-IR" sz="800" b="0" i="0" u="none" strike="noStrike" baseline="0">
                  <a:solidFill>
                    <a:srgbClr val="000000"/>
                  </a:solidFill>
                  <a:latin typeface="Segoe UI"/>
                  <a:cs typeface="Segoe UI"/>
                </a:rPr>
                <a:t>کمک هزینه مسکن  از تیرماه ۹۹ به ۳ میلیون ریال افزایش یابد</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cene3d>
          <a:camera prst="orthographicFront"/>
          <a:lightRig rig="flat" dir="t"/>
        </a:scene3d>
        <a:sp3d prstMaterial="dkEdge">
          <a:bevelT w="8200" h="38100"/>
        </a:sp3d>
      </a:spPr>
      <a:body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omments" Target="../comments1.xml"/><Relationship Id="rId3" Type="http://schemas.openxmlformats.org/officeDocument/2006/relationships/hyperlink" Target="https://www.instagram.com/sayah.shahdi/"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instagram.com/sayah.shahdi/" TargetMode="External"/><Relationship Id="rId10" Type="http://schemas.openxmlformats.org/officeDocument/2006/relationships/ctrlProp" Target="../ctrlProps/ctrlProp2.xml"/><Relationship Id="rId4" Type="http://schemas.openxmlformats.org/officeDocument/2006/relationships/hyperlink" Target="https://www.instagram.com/shenasname/" TargetMode="External"/><Relationship Id="rId9"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S723"/>
  <sheetViews>
    <sheetView showGridLines="0" showRowColHeaders="0" rightToLeft="1" tabSelected="1" zoomScaleNormal="100" workbookViewId="0">
      <selection activeCell="I4" sqref="I4"/>
    </sheetView>
  </sheetViews>
  <sheetFormatPr defaultColWidth="9" defaultRowHeight="18" x14ac:dyDescent="0.45"/>
  <cols>
    <col min="1" max="1" width="3.625" style="214" customWidth="1"/>
    <col min="2" max="2" width="32.5" style="64" customWidth="1"/>
    <col min="3" max="3" width="13.875" style="64" customWidth="1"/>
    <col min="4" max="4" width="3.125" style="64" customWidth="1"/>
    <col min="5" max="5" width="14.875" style="64" customWidth="1"/>
    <col min="6" max="7" width="21.625" style="64" customWidth="1"/>
    <col min="8" max="8" width="5.125" style="221" customWidth="1"/>
    <col min="9" max="9" width="15.625" style="221" customWidth="1"/>
    <col min="10" max="10" width="17.625" style="214" customWidth="1"/>
    <col min="11" max="14" width="11.375" style="214" customWidth="1"/>
    <col min="15" max="15" width="14.875" style="214" customWidth="1"/>
    <col min="16" max="16" width="15.375" style="214" customWidth="1"/>
    <col min="17" max="17" width="19.125" style="214" customWidth="1"/>
    <col min="18" max="23" width="59" style="214" customWidth="1"/>
    <col min="24" max="39" width="9" style="214"/>
    <col min="40" max="16384" width="9" style="50"/>
  </cols>
  <sheetData>
    <row r="1" spans="2:45" s="214" customFormat="1" ht="34.5" customHeight="1" x14ac:dyDescent="0.2">
      <c r="B1" s="258" t="s">
        <v>174</v>
      </c>
      <c r="C1" s="258"/>
      <c r="D1" s="258"/>
      <c r="E1" s="258"/>
      <c r="F1" s="258"/>
      <c r="G1" s="258"/>
      <c r="H1" s="215"/>
      <c r="I1" s="215"/>
    </row>
    <row r="2" spans="2:45" s="214" customFormat="1" ht="27" customHeight="1" x14ac:dyDescent="0.2">
      <c r="B2" s="259" t="s">
        <v>130</v>
      </c>
      <c r="C2" s="259"/>
      <c r="D2" s="259"/>
      <c r="E2" s="259"/>
      <c r="F2" s="259"/>
      <c r="G2" s="259"/>
      <c r="H2" s="216"/>
      <c r="I2" s="216"/>
    </row>
    <row r="3" spans="2:45" s="214" customFormat="1" ht="27" customHeight="1" x14ac:dyDescent="0.2">
      <c r="B3" s="260" t="s">
        <v>161</v>
      </c>
      <c r="C3" s="260"/>
      <c r="D3" s="260"/>
      <c r="E3" s="260"/>
      <c r="F3" s="260"/>
      <c r="G3" s="260"/>
      <c r="H3" s="216"/>
    </row>
    <row r="4" spans="2:45" ht="27" customHeight="1" x14ac:dyDescent="0.45">
      <c r="B4" s="267"/>
      <c r="C4" s="268"/>
      <c r="D4" s="217"/>
      <c r="E4" s="261" t="s">
        <v>132</v>
      </c>
      <c r="F4" s="261"/>
      <c r="G4" s="187">
        <v>0</v>
      </c>
      <c r="H4" s="216"/>
    </row>
    <row r="5" spans="2:45" s="214" customFormat="1" ht="6" customHeight="1" x14ac:dyDescent="0.55000000000000004">
      <c r="B5" s="217"/>
      <c r="C5" s="217"/>
      <c r="F5" s="225"/>
      <c r="G5" s="225"/>
      <c r="H5" s="219"/>
      <c r="K5" s="216"/>
      <c r="L5" s="216"/>
      <c r="M5" s="216"/>
    </row>
    <row r="6" spans="2:45" ht="26.1" customHeight="1" x14ac:dyDescent="0.45">
      <c r="B6" s="267"/>
      <c r="C6" s="268"/>
      <c r="D6" s="214"/>
      <c r="E6" s="261" t="s">
        <v>164</v>
      </c>
      <c r="F6" s="261"/>
      <c r="G6" s="188">
        <v>0</v>
      </c>
      <c r="H6" s="219"/>
      <c r="K6" s="216"/>
      <c r="L6" s="216"/>
      <c r="M6" s="216"/>
    </row>
    <row r="7" spans="2:45" s="214" customFormat="1" ht="6" customHeight="1" x14ac:dyDescent="0.55000000000000004">
      <c r="F7" s="225"/>
      <c r="G7" s="225"/>
      <c r="H7" s="219"/>
      <c r="K7" s="216"/>
      <c r="L7" s="216"/>
      <c r="M7" s="216"/>
    </row>
    <row r="8" spans="2:45" ht="26.1" customHeight="1" x14ac:dyDescent="0.45">
      <c r="B8" s="273" t="s">
        <v>160</v>
      </c>
      <c r="C8" s="274"/>
      <c r="D8" s="214"/>
      <c r="E8" s="261" t="s">
        <v>165</v>
      </c>
      <c r="F8" s="261"/>
      <c r="G8" s="188">
        <v>0</v>
      </c>
      <c r="H8" s="219"/>
      <c r="K8" s="216"/>
      <c r="L8" s="216"/>
      <c r="M8" s="216"/>
    </row>
    <row r="9" spans="2:45" s="214" customFormat="1" ht="17.25" customHeight="1" x14ac:dyDescent="0.45">
      <c r="B9" s="275"/>
      <c r="C9" s="276"/>
      <c r="H9" s="219"/>
      <c r="I9" s="216"/>
      <c r="J9" s="220"/>
    </row>
    <row r="10" spans="2:45" s="214" customFormat="1" ht="42.75" customHeight="1" x14ac:dyDescent="0.45">
      <c r="B10" s="234" t="s">
        <v>128</v>
      </c>
      <c r="C10" s="235"/>
      <c r="H10" s="219"/>
      <c r="I10" s="216"/>
      <c r="J10" s="216"/>
    </row>
    <row r="11" spans="2:45" s="214" customFormat="1" ht="7.5" customHeight="1" x14ac:dyDescent="0.45">
      <c r="E11" s="218"/>
      <c r="H11" s="221"/>
      <c r="I11" s="216"/>
      <c r="J11" s="216"/>
    </row>
    <row r="12" spans="2:45" ht="26.1" customHeight="1" x14ac:dyDescent="0.45">
      <c r="B12" s="262" t="s">
        <v>154</v>
      </c>
      <c r="C12" s="263"/>
      <c r="D12" s="263"/>
      <c r="E12" s="263"/>
      <c r="F12" s="269" t="s">
        <v>162</v>
      </c>
      <c r="G12" s="256" t="s">
        <v>163</v>
      </c>
      <c r="I12" s="216"/>
      <c r="J12" s="216"/>
    </row>
    <row r="13" spans="2:45" ht="26.1" customHeight="1" x14ac:dyDescent="0.45">
      <c r="B13" s="209" t="s">
        <v>155</v>
      </c>
      <c r="C13" s="207"/>
      <c r="D13" s="207"/>
      <c r="E13" s="207"/>
      <c r="F13" s="269"/>
      <c r="G13" s="257"/>
      <c r="I13" s="216"/>
      <c r="J13" s="216"/>
    </row>
    <row r="14" spans="2:45" ht="26.1" customHeight="1" x14ac:dyDescent="0.45">
      <c r="B14" s="239" t="s">
        <v>133</v>
      </c>
      <c r="C14" s="240"/>
      <c r="D14" s="241"/>
      <c r="E14" s="241"/>
      <c r="F14" s="202">
        <f>F22*'جدول محاسبات'!AR3</f>
        <v>19104270</v>
      </c>
      <c r="G14" s="202">
        <f>'جدول محاسبات'!AR3*'دستمزد 1400'!G22</f>
        <v>26554950</v>
      </c>
      <c r="I14" s="216"/>
      <c r="J14" s="216"/>
      <c r="R14" s="216"/>
      <c r="S14" s="216"/>
      <c r="T14" s="216"/>
      <c r="U14" s="216"/>
      <c r="V14" s="216"/>
      <c r="W14" s="216"/>
    </row>
    <row r="15" spans="2:45" ht="26.1" customHeight="1" x14ac:dyDescent="0.45">
      <c r="B15" s="253" t="s">
        <v>176</v>
      </c>
      <c r="C15" s="254"/>
      <c r="D15" s="255"/>
      <c r="E15" s="255"/>
      <c r="F15" s="190">
        <f>F23*'جدول محاسبات'!AR3</f>
        <v>0</v>
      </c>
      <c r="G15" s="190">
        <f>G23*'جدول محاسبات'!AR3</f>
        <v>1399980</v>
      </c>
      <c r="I15" s="50"/>
      <c r="J15" s="216"/>
      <c r="R15" s="216"/>
      <c r="S15" s="216"/>
      <c r="T15" s="216"/>
      <c r="U15" s="216"/>
      <c r="V15" s="216"/>
      <c r="W15" s="216"/>
      <c r="AS15" s="50">
        <v>0</v>
      </c>
    </row>
    <row r="16" spans="2:45" ht="26.1" customHeight="1" x14ac:dyDescent="0.45">
      <c r="B16" s="239" t="s">
        <v>139</v>
      </c>
      <c r="C16" s="240"/>
      <c r="D16" s="241"/>
      <c r="E16" s="241"/>
      <c r="F16" s="202">
        <f>IF('جدول محاسبات'!AR7=TRUE,G4*1910427,0)</f>
        <v>0</v>
      </c>
      <c r="G16" s="202">
        <f>IF('جدول محاسبات'!AR7=TRUE,2655495*G4,0)</f>
        <v>0</v>
      </c>
      <c r="I16" s="50"/>
      <c r="J16" s="216"/>
      <c r="R16" s="216"/>
      <c r="S16" s="216"/>
      <c r="T16" s="216"/>
      <c r="U16" s="216"/>
      <c r="V16" s="216"/>
      <c r="W16" s="216"/>
    </row>
    <row r="17" spans="2:23" ht="26.1" customHeight="1" x14ac:dyDescent="0.45">
      <c r="B17" s="253" t="s">
        <v>138</v>
      </c>
      <c r="C17" s="254"/>
      <c r="D17" s="255"/>
      <c r="E17" s="255"/>
      <c r="F17" s="190">
        <v>3000000</v>
      </c>
      <c r="G17" s="190">
        <v>4500000</v>
      </c>
      <c r="I17" s="50"/>
      <c r="J17" s="216"/>
      <c r="R17" s="216"/>
      <c r="S17" s="216"/>
      <c r="T17" s="216"/>
      <c r="U17" s="216"/>
      <c r="V17" s="216"/>
      <c r="W17" s="216"/>
    </row>
    <row r="18" spans="2:23" ht="26.1" customHeight="1" x14ac:dyDescent="0.45">
      <c r="B18" s="239" t="s">
        <v>140</v>
      </c>
      <c r="C18" s="240"/>
      <c r="D18" s="241"/>
      <c r="E18" s="241"/>
      <c r="F18" s="202">
        <v>4000000</v>
      </c>
      <c r="G18" s="202">
        <v>6000000</v>
      </c>
      <c r="I18" s="50"/>
      <c r="J18" s="216"/>
      <c r="R18" s="216"/>
      <c r="S18" s="216"/>
      <c r="T18" s="216"/>
      <c r="U18" s="216"/>
      <c r="V18" s="216"/>
      <c r="W18" s="216"/>
    </row>
    <row r="19" spans="2:23" ht="37.5" customHeight="1" x14ac:dyDescent="0.2">
      <c r="B19" s="247" t="s">
        <v>137</v>
      </c>
      <c r="C19" s="248"/>
      <c r="D19" s="249"/>
      <c r="E19" s="249"/>
      <c r="F19" s="224">
        <f>SUM(F14:F18)</f>
        <v>26104270</v>
      </c>
      <c r="G19" s="224">
        <f>SUM(G14,G15,G16,G17,G18)</f>
        <v>38454930</v>
      </c>
      <c r="H19" s="214"/>
      <c r="I19" s="50"/>
      <c r="J19" s="216"/>
      <c r="R19" s="216"/>
      <c r="S19" s="216"/>
      <c r="T19" s="216"/>
      <c r="U19" s="216"/>
      <c r="V19" s="216"/>
      <c r="W19" s="216"/>
    </row>
    <row r="20" spans="2:23" s="214" customFormat="1" ht="18" customHeight="1" x14ac:dyDescent="0.2">
      <c r="I20" s="50"/>
      <c r="J20" s="216"/>
      <c r="R20" s="216"/>
      <c r="S20" s="216"/>
      <c r="T20" s="216"/>
      <c r="U20" s="216"/>
      <c r="V20" s="216"/>
      <c r="W20" s="216"/>
    </row>
    <row r="21" spans="2:23" ht="26.1" customHeight="1" x14ac:dyDescent="0.2">
      <c r="B21" s="245" t="s">
        <v>171</v>
      </c>
      <c r="C21" s="246"/>
      <c r="D21" s="246"/>
      <c r="E21" s="246"/>
      <c r="F21" s="210" t="s">
        <v>162</v>
      </c>
      <c r="G21" s="211" t="s">
        <v>163</v>
      </c>
      <c r="H21" s="214"/>
      <c r="I21" s="50"/>
      <c r="J21" s="216"/>
      <c r="R21" s="216"/>
      <c r="S21" s="216"/>
      <c r="T21" s="216"/>
      <c r="U21" s="216"/>
      <c r="V21" s="216"/>
      <c r="W21" s="216"/>
    </row>
    <row r="22" spans="2:23" ht="26.1" customHeight="1" x14ac:dyDescent="0.45">
      <c r="B22" s="236" t="s">
        <v>158</v>
      </c>
      <c r="C22" s="237"/>
      <c r="D22" s="238"/>
      <c r="E22" s="238"/>
      <c r="F22" s="208">
        <f>IF(G6&lt;'جدول محاسبات'!AJ30,'جدول محاسبات'!AJ30,G6)</f>
        <v>636809</v>
      </c>
      <c r="G22" s="208">
        <f>IF(F22&gt;'جدول محاسبات'!AJ30,(F22+(F22*26%))+82785,'جدول محاسبات'!AJ33)</f>
        <v>885165</v>
      </c>
      <c r="I22" s="216"/>
      <c r="J22" s="216"/>
      <c r="R22" s="216"/>
      <c r="S22" s="216"/>
      <c r="T22" s="216"/>
      <c r="U22" s="216"/>
      <c r="V22" s="216"/>
      <c r="W22" s="216"/>
    </row>
    <row r="23" spans="2:23" ht="26.1" customHeight="1" x14ac:dyDescent="0.45">
      <c r="B23" s="270" t="s">
        <v>175</v>
      </c>
      <c r="C23" s="271"/>
      <c r="D23" s="272"/>
      <c r="E23" s="272"/>
      <c r="F23" s="226">
        <f>IF('جدول محاسبات'!AR6=TRUE,'دستمزد 1400'!G8,0)</f>
        <v>0</v>
      </c>
      <c r="G23" s="226">
        <f>IF('جدول محاسبات'!AR6=TRUE,(F23*1.26)+'جدول محاسبات'!AJ32,0)</f>
        <v>46666</v>
      </c>
      <c r="I23" s="216"/>
      <c r="J23" s="216"/>
      <c r="R23" s="216"/>
      <c r="S23" s="216"/>
      <c r="T23" s="216"/>
      <c r="U23" s="216"/>
      <c r="V23" s="216"/>
      <c r="W23" s="216"/>
    </row>
    <row r="24" spans="2:23" ht="26.1" customHeight="1" x14ac:dyDescent="0.2">
      <c r="B24" s="239" t="s">
        <v>172</v>
      </c>
      <c r="C24" s="240"/>
      <c r="D24" s="241"/>
      <c r="E24" s="241"/>
      <c r="F24" s="202" t="s">
        <v>152</v>
      </c>
      <c r="G24" s="202">
        <f>G19-F19</f>
        <v>12350660</v>
      </c>
      <c r="H24" s="214"/>
      <c r="I24" s="50"/>
      <c r="J24" s="216"/>
      <c r="R24" s="216"/>
      <c r="S24" s="216"/>
      <c r="T24" s="216"/>
      <c r="U24" s="216"/>
      <c r="V24" s="216"/>
      <c r="W24" s="216"/>
    </row>
    <row r="25" spans="2:23" ht="26.1" customHeight="1" x14ac:dyDescent="0.2">
      <c r="B25" s="264" t="s">
        <v>173</v>
      </c>
      <c r="C25" s="265"/>
      <c r="D25" s="266"/>
      <c r="E25" s="266"/>
      <c r="F25" s="212" t="s">
        <v>152</v>
      </c>
      <c r="G25" s="213">
        <f>(G19-F19)/F19*100</f>
        <v>47.312795952539567</v>
      </c>
      <c r="H25" s="214"/>
      <c r="I25" s="50"/>
      <c r="J25" s="216"/>
      <c r="R25" s="216"/>
      <c r="S25" s="216"/>
      <c r="T25" s="216"/>
      <c r="U25" s="216"/>
      <c r="V25" s="216"/>
      <c r="W25" s="216"/>
    </row>
    <row r="26" spans="2:23" ht="26.1" customHeight="1" x14ac:dyDescent="0.2">
      <c r="B26" s="242" t="s">
        <v>153</v>
      </c>
      <c r="C26" s="243"/>
      <c r="D26" s="244"/>
      <c r="E26" s="244"/>
      <c r="F26" s="203">
        <f>((F23+F22)/7.3333)*1.4</f>
        <v>121573.17987809035</v>
      </c>
      <c r="G26" s="203">
        <f>((G23+G22)/7.3333)*1.4</f>
        <v>177895.8177082623</v>
      </c>
      <c r="H26" s="214"/>
      <c r="I26" s="216"/>
      <c r="J26" s="216"/>
      <c r="R26" s="216"/>
      <c r="S26" s="216"/>
      <c r="T26" s="216"/>
      <c r="U26" s="216"/>
      <c r="V26" s="216"/>
      <c r="W26" s="216"/>
    </row>
    <row r="27" spans="2:23" s="214" customFormat="1" ht="24" customHeight="1" x14ac:dyDescent="0.2">
      <c r="I27" s="216"/>
      <c r="J27" s="216"/>
      <c r="K27" s="216"/>
      <c r="L27" s="216"/>
      <c r="M27" s="216"/>
      <c r="N27" s="216"/>
      <c r="O27" s="216"/>
      <c r="P27" s="216"/>
      <c r="Q27" s="216"/>
      <c r="R27" s="216"/>
      <c r="S27" s="216"/>
      <c r="T27" s="216"/>
      <c r="U27" s="216"/>
      <c r="V27" s="216"/>
      <c r="W27" s="216"/>
    </row>
    <row r="28" spans="2:23" ht="26.1" customHeight="1" x14ac:dyDescent="0.2">
      <c r="B28" s="184"/>
      <c r="C28" s="250" t="s">
        <v>131</v>
      </c>
      <c r="D28" s="251"/>
      <c r="E28" s="251"/>
      <c r="F28" s="251"/>
      <c r="G28" s="252"/>
      <c r="H28" s="214"/>
      <c r="I28" s="216"/>
      <c r="J28" s="216"/>
      <c r="K28" s="216"/>
      <c r="L28" s="216"/>
      <c r="M28" s="216"/>
      <c r="N28" s="216"/>
      <c r="O28" s="216"/>
      <c r="P28" s="216"/>
      <c r="Q28" s="216"/>
      <c r="R28" s="216"/>
      <c r="S28" s="216"/>
      <c r="T28" s="216"/>
      <c r="U28" s="216"/>
      <c r="V28" s="216"/>
      <c r="W28" s="216"/>
    </row>
    <row r="29" spans="2:23" ht="26.1" customHeight="1" x14ac:dyDescent="0.2">
      <c r="B29" s="185"/>
      <c r="C29" s="228" t="s">
        <v>116</v>
      </c>
      <c r="D29" s="229"/>
      <c r="E29" s="229"/>
      <c r="F29" s="229"/>
      <c r="G29" s="230"/>
      <c r="H29" s="214"/>
      <c r="I29" s="216"/>
      <c r="J29" s="216"/>
      <c r="K29" s="216"/>
      <c r="L29" s="216"/>
      <c r="M29" s="216"/>
      <c r="N29" s="216"/>
      <c r="O29" s="216"/>
      <c r="P29" s="216"/>
      <c r="Q29" s="216"/>
      <c r="R29" s="216"/>
      <c r="S29" s="216"/>
      <c r="T29" s="216"/>
      <c r="U29" s="216"/>
      <c r="V29" s="216"/>
      <c r="W29" s="216"/>
    </row>
    <row r="30" spans="2:23" ht="26.1" customHeight="1" x14ac:dyDescent="0.2">
      <c r="B30" s="185"/>
      <c r="C30" s="228" t="s">
        <v>129</v>
      </c>
      <c r="D30" s="229"/>
      <c r="E30" s="229"/>
      <c r="F30" s="229"/>
      <c r="G30" s="230"/>
      <c r="H30" s="214"/>
      <c r="I30" s="216"/>
      <c r="J30" s="216"/>
      <c r="K30" s="216"/>
      <c r="L30" s="216"/>
      <c r="M30" s="216"/>
      <c r="N30" s="216"/>
      <c r="O30" s="216"/>
      <c r="P30" s="216"/>
      <c r="Q30" s="216"/>
      <c r="R30" s="216"/>
      <c r="S30" s="216"/>
      <c r="T30" s="216"/>
      <c r="U30" s="216"/>
      <c r="V30" s="216"/>
      <c r="W30" s="216"/>
    </row>
    <row r="31" spans="2:23" ht="26.1" customHeight="1" x14ac:dyDescent="0.2">
      <c r="B31" s="186"/>
      <c r="C31" s="231" t="s">
        <v>159</v>
      </c>
      <c r="D31" s="232"/>
      <c r="E31" s="232"/>
      <c r="F31" s="232"/>
      <c r="G31" s="233"/>
      <c r="H31" s="214"/>
      <c r="I31" s="216"/>
      <c r="J31" s="216"/>
      <c r="K31" s="216"/>
      <c r="L31" s="216"/>
      <c r="M31" s="216"/>
      <c r="N31" s="216"/>
      <c r="O31" s="216"/>
      <c r="P31" s="216"/>
      <c r="Q31" s="216"/>
      <c r="R31" s="216"/>
      <c r="S31" s="216"/>
      <c r="T31" s="216"/>
      <c r="U31" s="216"/>
      <c r="V31" s="216"/>
      <c r="W31" s="216"/>
    </row>
    <row r="32" spans="2:23" s="214" customFormat="1" ht="26.1" customHeight="1" x14ac:dyDescent="0.2">
      <c r="I32" s="216"/>
      <c r="J32" s="216"/>
      <c r="K32" s="216"/>
      <c r="L32" s="216"/>
      <c r="M32" s="216"/>
      <c r="N32" s="216"/>
      <c r="O32" s="216"/>
      <c r="P32" s="216"/>
      <c r="Q32" s="216"/>
      <c r="R32" s="216"/>
      <c r="S32" s="216"/>
      <c r="T32" s="216"/>
      <c r="U32" s="216"/>
      <c r="V32" s="216"/>
      <c r="W32" s="216"/>
    </row>
    <row r="33" s="214" customFormat="1" ht="26.1" customHeight="1" x14ac:dyDescent="0.2"/>
    <row r="34" s="214" customFormat="1" ht="26.1" customHeight="1" x14ac:dyDescent="0.2"/>
    <row r="35" s="214" customFormat="1" ht="26.1" customHeight="1" x14ac:dyDescent="0.2"/>
    <row r="36" s="214" customFormat="1" ht="26.1" customHeight="1" x14ac:dyDescent="0.2"/>
    <row r="37" s="214" customFormat="1" ht="26.1" customHeight="1" x14ac:dyDescent="0.2"/>
    <row r="38" s="214" customFormat="1" ht="26.1" customHeight="1" x14ac:dyDescent="0.2"/>
    <row r="39" s="214" customFormat="1" ht="26.1" customHeight="1" x14ac:dyDescent="0.2"/>
    <row r="40" s="214" customFormat="1" ht="26.1" customHeight="1" x14ac:dyDescent="0.2"/>
    <row r="41" s="214" customFormat="1" ht="26.1" customHeight="1" x14ac:dyDescent="0.2"/>
    <row r="42" s="214" customFormat="1" ht="26.1" customHeight="1" x14ac:dyDescent="0.2"/>
    <row r="43" s="214" customFormat="1" ht="26.1" customHeight="1" x14ac:dyDescent="0.2"/>
    <row r="44" s="214" customFormat="1" ht="26.1" customHeight="1" x14ac:dyDescent="0.2"/>
    <row r="45" s="214" customFormat="1" ht="26.1" customHeight="1" x14ac:dyDescent="0.2"/>
    <row r="46" s="214" customFormat="1" ht="26.1" customHeight="1" x14ac:dyDescent="0.2"/>
    <row r="47" s="214" customFormat="1" ht="26.1" customHeight="1" x14ac:dyDescent="0.2"/>
    <row r="48" s="214" customFormat="1" ht="26.1" customHeight="1" x14ac:dyDescent="0.2"/>
    <row r="49" s="214" customFormat="1" ht="26.1" customHeight="1" x14ac:dyDescent="0.2"/>
    <row r="50" s="214" customFormat="1" ht="26.1" customHeight="1" x14ac:dyDescent="0.2"/>
    <row r="51" s="214" customFormat="1" ht="26.1" customHeight="1" x14ac:dyDescent="0.2"/>
    <row r="52" s="214" customFormat="1" ht="26.1" customHeight="1" x14ac:dyDescent="0.2"/>
    <row r="53" s="214" customFormat="1" ht="26.1" customHeight="1" x14ac:dyDescent="0.2"/>
    <row r="54" s="214" customFormat="1" ht="26.1" customHeight="1" x14ac:dyDescent="0.2"/>
    <row r="55" s="214" customFormat="1" ht="26.1" customHeight="1" x14ac:dyDescent="0.2"/>
    <row r="56" s="214" customFormat="1" ht="26.1" customHeight="1" x14ac:dyDescent="0.2"/>
    <row r="57" s="214" customFormat="1" ht="26.1" customHeight="1" x14ac:dyDescent="0.2"/>
    <row r="58" s="214" customFormat="1" ht="26.1" customHeight="1" x14ac:dyDescent="0.2"/>
    <row r="59" s="214" customFormat="1" ht="26.1" customHeight="1" x14ac:dyDescent="0.2"/>
    <row r="60" s="214" customFormat="1" ht="26.1" customHeight="1" x14ac:dyDescent="0.2"/>
    <row r="61" s="214" customFormat="1" ht="26.1" customHeight="1" x14ac:dyDescent="0.2"/>
    <row r="62" s="214" customFormat="1" ht="26.1" customHeight="1" x14ac:dyDescent="0.2"/>
    <row r="63" s="214" customFormat="1" ht="26.1" customHeight="1" x14ac:dyDescent="0.2"/>
    <row r="64" s="214" customFormat="1" ht="26.1" customHeight="1" x14ac:dyDescent="0.2"/>
    <row r="65" s="214" customFormat="1" ht="26.1" customHeight="1" x14ac:dyDescent="0.2"/>
    <row r="66" s="214" customFormat="1" ht="26.1" customHeight="1" x14ac:dyDescent="0.2"/>
    <row r="67" s="214" customFormat="1" ht="26.1" customHeight="1" x14ac:dyDescent="0.2"/>
    <row r="68" s="214" customFormat="1" ht="26.1" customHeight="1" x14ac:dyDescent="0.2"/>
    <row r="69" s="214" customFormat="1" ht="26.1" customHeight="1" x14ac:dyDescent="0.2"/>
    <row r="70" s="214" customFormat="1" ht="26.1" customHeight="1" x14ac:dyDescent="0.2"/>
    <row r="71" s="214" customFormat="1" ht="26.1" customHeight="1" x14ac:dyDescent="0.2"/>
    <row r="72" s="214" customFormat="1" ht="26.1" customHeight="1" x14ac:dyDescent="0.2"/>
    <row r="73" s="214" customFormat="1" ht="26.1" customHeight="1" x14ac:dyDescent="0.2"/>
    <row r="74" s="214" customFormat="1" ht="26.1" customHeight="1" x14ac:dyDescent="0.2"/>
    <row r="75" s="214" customFormat="1" ht="26.1" customHeight="1" x14ac:dyDescent="0.2"/>
    <row r="76" s="214" customFormat="1" ht="26.1" customHeight="1" x14ac:dyDescent="0.2"/>
    <row r="77" s="214" customFormat="1" ht="26.1" customHeight="1" x14ac:dyDescent="0.2"/>
    <row r="78" s="214" customFormat="1" ht="26.1" customHeight="1" x14ac:dyDescent="0.2"/>
    <row r="79" s="214" customFormat="1" ht="26.1" customHeight="1" x14ac:dyDescent="0.2"/>
    <row r="80" s="214" customFormat="1" ht="26.1" customHeight="1" x14ac:dyDescent="0.2"/>
    <row r="81" s="214" customFormat="1" ht="26.1" customHeight="1" x14ac:dyDescent="0.2"/>
    <row r="82" s="214" customFormat="1" ht="26.1" customHeight="1" x14ac:dyDescent="0.2"/>
    <row r="83" s="214" customFormat="1" ht="26.1" customHeight="1" x14ac:dyDescent="0.2"/>
    <row r="84" s="214" customFormat="1" ht="26.1" customHeight="1" x14ac:dyDescent="0.2"/>
    <row r="85" s="214" customFormat="1" ht="26.1" customHeight="1" x14ac:dyDescent="0.2"/>
    <row r="86" s="214" customFormat="1" ht="26.1" customHeight="1" x14ac:dyDescent="0.2"/>
    <row r="87" s="214" customFormat="1" ht="26.1" customHeight="1" x14ac:dyDescent="0.2"/>
    <row r="88" s="214" customFormat="1" ht="26.1" customHeight="1" x14ac:dyDescent="0.2"/>
    <row r="89" s="214" customFormat="1" ht="26.1" customHeight="1" x14ac:dyDescent="0.2"/>
    <row r="90" s="214" customFormat="1" ht="26.1" customHeight="1" x14ac:dyDescent="0.2"/>
    <row r="91" s="214" customFormat="1" ht="26.1" customHeight="1" x14ac:dyDescent="0.2"/>
    <row r="92" s="214" customFormat="1" ht="26.1" customHeight="1" x14ac:dyDescent="0.2"/>
    <row r="93" s="214" customFormat="1" ht="26.1" customHeight="1" x14ac:dyDescent="0.2"/>
    <row r="94" s="214" customFormat="1" ht="26.1" customHeight="1" x14ac:dyDescent="0.2"/>
    <row r="95" s="214" customFormat="1" ht="26.1" customHeight="1" x14ac:dyDescent="0.2"/>
    <row r="96" s="214" customFormat="1" ht="26.1" customHeight="1" x14ac:dyDescent="0.2"/>
    <row r="97" spans="2:9" s="214" customFormat="1" ht="26.1" customHeight="1" x14ac:dyDescent="0.2"/>
    <row r="98" spans="2:9" s="214" customFormat="1" ht="26.1" customHeight="1" x14ac:dyDescent="0.2"/>
    <row r="99" spans="2:9" s="214" customFormat="1" ht="26.1" customHeight="1" x14ac:dyDescent="0.2"/>
    <row r="100" spans="2:9" s="214" customFormat="1" ht="26.1" customHeight="1" x14ac:dyDescent="0.2"/>
    <row r="101" spans="2:9" s="214" customFormat="1" ht="26.1" customHeight="1" x14ac:dyDescent="0.2"/>
    <row r="102" spans="2:9" s="214" customFormat="1" ht="26.1" customHeight="1" x14ac:dyDescent="0.2"/>
    <row r="103" spans="2:9" s="214" customFormat="1" ht="26.1" customHeight="1" x14ac:dyDescent="0.2"/>
    <row r="104" spans="2:9" s="214" customFormat="1" ht="26.1" customHeight="1" x14ac:dyDescent="0.45">
      <c r="B104" s="221"/>
      <c r="C104" s="221"/>
      <c r="D104" s="221"/>
      <c r="E104" s="221"/>
      <c r="F104" s="221"/>
      <c r="G104" s="221"/>
      <c r="H104" s="221"/>
      <c r="I104" s="221"/>
    </row>
    <row r="105" spans="2:9" s="214" customFormat="1" ht="26.1" customHeight="1" x14ac:dyDescent="0.45">
      <c r="B105" s="221"/>
      <c r="C105" s="221"/>
      <c r="D105" s="221"/>
      <c r="E105" s="221"/>
      <c r="F105" s="221"/>
      <c r="G105" s="221"/>
      <c r="H105" s="221"/>
      <c r="I105" s="221"/>
    </row>
    <row r="106" spans="2:9" s="214" customFormat="1" ht="26.1" customHeight="1" x14ac:dyDescent="0.45">
      <c r="B106" s="221"/>
      <c r="C106" s="221"/>
      <c r="D106" s="221"/>
      <c r="E106" s="221"/>
      <c r="F106" s="221"/>
      <c r="G106" s="221"/>
      <c r="H106" s="221"/>
      <c r="I106" s="221"/>
    </row>
    <row r="107" spans="2:9" s="214" customFormat="1" ht="26.1" customHeight="1" x14ac:dyDescent="0.45">
      <c r="B107" s="221"/>
      <c r="C107" s="221"/>
      <c r="D107" s="221"/>
      <c r="E107" s="221"/>
      <c r="F107" s="221"/>
      <c r="G107" s="221"/>
      <c r="H107" s="221"/>
      <c r="I107" s="221"/>
    </row>
    <row r="108" spans="2:9" s="214" customFormat="1" ht="26.1" customHeight="1" x14ac:dyDescent="0.45">
      <c r="B108" s="221"/>
      <c r="C108" s="221"/>
      <c r="D108" s="221"/>
      <c r="E108" s="221"/>
      <c r="F108" s="221"/>
      <c r="G108" s="221"/>
      <c r="H108" s="221"/>
      <c r="I108" s="221"/>
    </row>
    <row r="109" spans="2:9" s="214" customFormat="1" ht="26.1" customHeight="1" x14ac:dyDescent="0.45">
      <c r="B109" s="221"/>
      <c r="C109" s="221"/>
      <c r="D109" s="221"/>
      <c r="E109" s="221"/>
      <c r="F109" s="221"/>
      <c r="G109" s="221"/>
      <c r="H109" s="221"/>
      <c r="I109" s="221"/>
    </row>
    <row r="110" spans="2:9" s="214" customFormat="1" ht="26.1" customHeight="1" x14ac:dyDescent="0.45">
      <c r="B110" s="221"/>
      <c r="C110" s="221"/>
      <c r="D110" s="221"/>
      <c r="E110" s="221"/>
      <c r="F110" s="221"/>
      <c r="G110" s="221"/>
      <c r="H110" s="221"/>
      <c r="I110" s="221"/>
    </row>
    <row r="111" spans="2:9" s="214" customFormat="1" ht="26.1" customHeight="1" x14ac:dyDescent="0.45">
      <c r="B111" s="221"/>
      <c r="C111" s="221"/>
      <c r="D111" s="221"/>
      <c r="E111" s="221"/>
      <c r="F111" s="221"/>
      <c r="G111" s="221"/>
      <c r="H111" s="221"/>
      <c r="I111" s="221"/>
    </row>
    <row r="112" spans="2:9" s="214" customFormat="1" ht="26.1" customHeight="1" x14ac:dyDescent="0.45">
      <c r="B112" s="221"/>
      <c r="C112" s="221"/>
      <c r="D112" s="221"/>
      <c r="E112" s="221"/>
      <c r="F112" s="221"/>
      <c r="G112" s="221"/>
      <c r="H112" s="221"/>
      <c r="I112" s="221"/>
    </row>
    <row r="113" spans="2:9" s="214" customFormat="1" ht="26.1" customHeight="1" x14ac:dyDescent="0.45">
      <c r="B113" s="221"/>
      <c r="C113" s="221"/>
      <c r="D113" s="221"/>
      <c r="E113" s="221"/>
      <c r="F113" s="221"/>
      <c r="G113" s="221"/>
      <c r="H113" s="221"/>
      <c r="I113" s="221"/>
    </row>
    <row r="114" spans="2:9" s="214" customFormat="1" ht="26.1" customHeight="1" x14ac:dyDescent="0.45">
      <c r="B114" s="221"/>
      <c r="C114" s="221"/>
      <c r="D114" s="221"/>
      <c r="E114" s="221"/>
      <c r="F114" s="221"/>
      <c r="G114" s="221"/>
      <c r="H114" s="221"/>
      <c r="I114" s="221"/>
    </row>
    <row r="115" spans="2:9" s="214" customFormat="1" ht="26.1" customHeight="1" x14ac:dyDescent="0.45">
      <c r="B115" s="221"/>
      <c r="C115" s="221"/>
      <c r="D115" s="221"/>
      <c r="E115" s="221"/>
      <c r="F115" s="221"/>
      <c r="G115" s="221"/>
      <c r="H115" s="221"/>
      <c r="I115" s="221"/>
    </row>
    <row r="116" spans="2:9" s="214" customFormat="1" ht="26.1" customHeight="1" x14ac:dyDescent="0.45">
      <c r="B116" s="221"/>
      <c r="C116" s="221"/>
      <c r="D116" s="221"/>
      <c r="E116" s="221"/>
      <c r="F116" s="221"/>
      <c r="G116" s="221"/>
      <c r="H116" s="221"/>
      <c r="I116" s="221"/>
    </row>
    <row r="117" spans="2:9" s="214" customFormat="1" ht="26.1" customHeight="1" x14ac:dyDescent="0.45">
      <c r="B117" s="221"/>
      <c r="C117" s="221"/>
      <c r="D117" s="221"/>
      <c r="E117" s="221"/>
      <c r="F117" s="221"/>
      <c r="G117" s="221"/>
      <c r="H117" s="221"/>
      <c r="I117" s="221"/>
    </row>
    <row r="118" spans="2:9" s="214" customFormat="1" ht="26.1" customHeight="1" x14ac:dyDescent="0.45">
      <c r="B118" s="221"/>
      <c r="C118" s="221"/>
      <c r="D118" s="221"/>
      <c r="E118" s="221"/>
      <c r="F118" s="221"/>
      <c r="G118" s="221"/>
      <c r="H118" s="221"/>
      <c r="I118" s="221"/>
    </row>
    <row r="119" spans="2:9" s="214" customFormat="1" ht="26.1" customHeight="1" x14ac:dyDescent="0.45">
      <c r="B119" s="221"/>
      <c r="C119" s="221"/>
      <c r="D119" s="221"/>
      <c r="E119" s="221"/>
      <c r="F119" s="221"/>
      <c r="G119" s="221"/>
      <c r="H119" s="221"/>
      <c r="I119" s="221"/>
    </row>
    <row r="120" spans="2:9" s="214" customFormat="1" ht="26.1" customHeight="1" x14ac:dyDescent="0.45">
      <c r="B120" s="221"/>
      <c r="C120" s="221"/>
      <c r="D120" s="221"/>
      <c r="E120" s="221"/>
      <c r="F120" s="221"/>
      <c r="G120" s="221"/>
      <c r="H120" s="221"/>
      <c r="I120" s="221"/>
    </row>
    <row r="121" spans="2:9" s="214" customFormat="1" ht="26.1" customHeight="1" x14ac:dyDescent="0.45">
      <c r="B121" s="221"/>
      <c r="C121" s="221"/>
      <c r="D121" s="221"/>
      <c r="E121" s="221"/>
      <c r="F121" s="221"/>
      <c r="G121" s="221"/>
      <c r="H121" s="221"/>
      <c r="I121" s="221"/>
    </row>
    <row r="122" spans="2:9" s="214" customFormat="1" ht="26.1" customHeight="1" x14ac:dyDescent="0.45">
      <c r="B122" s="221"/>
      <c r="C122" s="221"/>
      <c r="D122" s="221"/>
      <c r="E122" s="221"/>
      <c r="F122" s="221"/>
      <c r="G122" s="221"/>
      <c r="H122" s="221"/>
      <c r="I122" s="221"/>
    </row>
    <row r="123" spans="2:9" s="214" customFormat="1" ht="26.1" customHeight="1" x14ac:dyDescent="0.45">
      <c r="B123" s="221"/>
      <c r="C123" s="221"/>
      <c r="D123" s="221"/>
      <c r="E123" s="221"/>
      <c r="F123" s="221"/>
      <c r="G123" s="221"/>
      <c r="H123" s="221"/>
      <c r="I123" s="221"/>
    </row>
    <row r="124" spans="2:9" s="214" customFormat="1" x14ac:dyDescent="0.45">
      <c r="B124" s="221"/>
      <c r="C124" s="221"/>
      <c r="D124" s="221"/>
      <c r="E124" s="221"/>
      <c r="F124" s="221"/>
      <c r="G124" s="221"/>
      <c r="H124" s="221"/>
      <c r="I124" s="221"/>
    </row>
    <row r="125" spans="2:9" s="214" customFormat="1" x14ac:dyDescent="0.45">
      <c r="B125" s="221"/>
      <c r="C125" s="221"/>
      <c r="D125" s="221"/>
      <c r="E125" s="221"/>
      <c r="F125" s="221"/>
      <c r="G125" s="221"/>
      <c r="H125" s="221"/>
      <c r="I125" s="221"/>
    </row>
    <row r="126" spans="2:9" s="214" customFormat="1" x14ac:dyDescent="0.45">
      <c r="B126" s="221"/>
      <c r="C126" s="221"/>
      <c r="D126" s="221"/>
      <c r="E126" s="221"/>
      <c r="F126" s="221"/>
      <c r="G126" s="221"/>
      <c r="H126" s="221"/>
      <c r="I126" s="221"/>
    </row>
    <row r="127" spans="2:9" s="214" customFormat="1" x14ac:dyDescent="0.45">
      <c r="B127" s="221"/>
      <c r="C127" s="221"/>
      <c r="D127" s="221"/>
      <c r="E127" s="221"/>
      <c r="F127" s="221"/>
      <c r="G127" s="221"/>
      <c r="H127" s="221"/>
      <c r="I127" s="221"/>
    </row>
    <row r="128" spans="2:9" s="214" customFormat="1" x14ac:dyDescent="0.45">
      <c r="B128" s="221"/>
      <c r="C128" s="221"/>
      <c r="D128" s="221"/>
      <c r="E128" s="221"/>
      <c r="F128" s="221"/>
      <c r="G128" s="221"/>
      <c r="H128" s="221"/>
      <c r="I128" s="221"/>
    </row>
    <row r="129" spans="2:9" s="214" customFormat="1" x14ac:dyDescent="0.45">
      <c r="B129" s="221"/>
      <c r="C129" s="221"/>
      <c r="D129" s="221"/>
      <c r="E129" s="221"/>
      <c r="F129" s="221"/>
      <c r="G129" s="221"/>
      <c r="H129" s="221"/>
      <c r="I129" s="221"/>
    </row>
    <row r="130" spans="2:9" s="214" customFormat="1" x14ac:dyDescent="0.45">
      <c r="B130" s="221"/>
      <c r="C130" s="221"/>
      <c r="D130" s="221"/>
      <c r="E130" s="221"/>
      <c r="F130" s="221"/>
      <c r="G130" s="221"/>
      <c r="H130" s="221"/>
      <c r="I130" s="221"/>
    </row>
    <row r="131" spans="2:9" s="214" customFormat="1" x14ac:dyDescent="0.45">
      <c r="B131" s="221"/>
      <c r="C131" s="221"/>
      <c r="D131" s="221"/>
      <c r="E131" s="221"/>
      <c r="F131" s="221"/>
      <c r="G131" s="221"/>
      <c r="H131" s="221"/>
      <c r="I131" s="221"/>
    </row>
    <row r="132" spans="2:9" s="214" customFormat="1" x14ac:dyDescent="0.45">
      <c r="B132" s="221"/>
      <c r="C132" s="221"/>
      <c r="D132" s="221"/>
      <c r="E132" s="221"/>
      <c r="F132" s="221"/>
      <c r="G132" s="221"/>
      <c r="H132" s="221"/>
      <c r="I132" s="221"/>
    </row>
    <row r="133" spans="2:9" s="214" customFormat="1" x14ac:dyDescent="0.45">
      <c r="B133" s="221"/>
      <c r="C133" s="221"/>
      <c r="D133" s="221"/>
      <c r="E133" s="221"/>
      <c r="F133" s="221"/>
      <c r="G133" s="221"/>
      <c r="H133" s="221"/>
      <c r="I133" s="221"/>
    </row>
    <row r="134" spans="2:9" s="214" customFormat="1" x14ac:dyDescent="0.45">
      <c r="B134" s="221"/>
      <c r="C134" s="221"/>
      <c r="D134" s="221"/>
      <c r="E134" s="221"/>
      <c r="F134" s="221"/>
      <c r="G134" s="221"/>
      <c r="H134" s="221"/>
      <c r="I134" s="221"/>
    </row>
    <row r="135" spans="2:9" s="214" customFormat="1" x14ac:dyDescent="0.45">
      <c r="B135" s="221"/>
      <c r="C135" s="221"/>
      <c r="D135" s="221"/>
      <c r="E135" s="221"/>
      <c r="F135" s="221"/>
      <c r="G135" s="221"/>
      <c r="H135" s="221"/>
      <c r="I135" s="221"/>
    </row>
    <row r="136" spans="2:9" s="214" customFormat="1" x14ac:dyDescent="0.45">
      <c r="B136" s="221"/>
      <c r="C136" s="221"/>
      <c r="D136" s="221"/>
      <c r="E136" s="221"/>
      <c r="F136" s="221"/>
      <c r="G136" s="221"/>
      <c r="H136" s="221"/>
      <c r="I136" s="221"/>
    </row>
    <row r="137" spans="2:9" s="214" customFormat="1" x14ac:dyDescent="0.45">
      <c r="B137" s="221"/>
      <c r="C137" s="221"/>
      <c r="D137" s="221"/>
      <c r="E137" s="221"/>
      <c r="F137" s="221"/>
      <c r="G137" s="221"/>
      <c r="H137" s="221"/>
      <c r="I137" s="221"/>
    </row>
    <row r="138" spans="2:9" s="214" customFormat="1" x14ac:dyDescent="0.45">
      <c r="B138" s="221"/>
      <c r="C138" s="221"/>
      <c r="D138" s="221"/>
      <c r="E138" s="221"/>
      <c r="F138" s="221"/>
      <c r="G138" s="221"/>
      <c r="H138" s="221"/>
      <c r="I138" s="221"/>
    </row>
    <row r="139" spans="2:9" s="214" customFormat="1" x14ac:dyDescent="0.45">
      <c r="B139" s="221"/>
      <c r="C139" s="221"/>
      <c r="D139" s="221"/>
      <c r="E139" s="221"/>
      <c r="F139" s="221"/>
      <c r="G139" s="221"/>
      <c r="H139" s="221"/>
      <c r="I139" s="221"/>
    </row>
    <row r="140" spans="2:9" s="214" customFormat="1" x14ac:dyDescent="0.45">
      <c r="B140" s="221"/>
      <c r="C140" s="221"/>
      <c r="D140" s="221"/>
      <c r="E140" s="221"/>
      <c r="F140" s="221"/>
      <c r="G140" s="221"/>
      <c r="H140" s="221"/>
      <c r="I140" s="221"/>
    </row>
    <row r="141" spans="2:9" s="214" customFormat="1" x14ac:dyDescent="0.45">
      <c r="B141" s="221"/>
      <c r="C141" s="221"/>
      <c r="D141" s="221"/>
      <c r="E141" s="221"/>
      <c r="F141" s="221"/>
      <c r="G141" s="221"/>
      <c r="H141" s="221"/>
      <c r="I141" s="221"/>
    </row>
    <row r="142" spans="2:9" s="214" customFormat="1" x14ac:dyDescent="0.45">
      <c r="B142" s="221"/>
      <c r="C142" s="221"/>
      <c r="D142" s="221"/>
      <c r="E142" s="221"/>
      <c r="F142" s="221"/>
      <c r="G142" s="221"/>
      <c r="H142" s="221"/>
      <c r="I142" s="221"/>
    </row>
    <row r="143" spans="2:9" s="214" customFormat="1" x14ac:dyDescent="0.45">
      <c r="B143" s="221"/>
      <c r="C143" s="221"/>
      <c r="D143" s="221"/>
      <c r="E143" s="221"/>
      <c r="F143" s="221"/>
      <c r="G143" s="221"/>
      <c r="H143" s="221"/>
      <c r="I143" s="221"/>
    </row>
    <row r="144" spans="2:9" s="214" customFormat="1" x14ac:dyDescent="0.45">
      <c r="B144" s="221"/>
      <c r="C144" s="221"/>
      <c r="D144" s="221"/>
      <c r="E144" s="221"/>
      <c r="F144" s="221"/>
      <c r="G144" s="221"/>
      <c r="H144" s="221"/>
      <c r="I144" s="221"/>
    </row>
    <row r="145" spans="2:9" s="214" customFormat="1" x14ac:dyDescent="0.45">
      <c r="B145" s="221"/>
      <c r="C145" s="221"/>
      <c r="D145" s="221"/>
      <c r="E145" s="221"/>
      <c r="F145" s="221"/>
      <c r="G145" s="221"/>
      <c r="H145" s="221"/>
      <c r="I145" s="221"/>
    </row>
    <row r="146" spans="2:9" s="214" customFormat="1" x14ac:dyDescent="0.45">
      <c r="B146" s="221"/>
      <c r="C146" s="221"/>
      <c r="D146" s="221"/>
      <c r="E146" s="221"/>
      <c r="F146" s="221"/>
      <c r="G146" s="221"/>
      <c r="H146" s="221"/>
      <c r="I146" s="221"/>
    </row>
    <row r="147" spans="2:9" s="214" customFormat="1" x14ac:dyDescent="0.45">
      <c r="B147" s="221"/>
      <c r="C147" s="221"/>
      <c r="D147" s="221"/>
      <c r="E147" s="221"/>
      <c r="F147" s="221"/>
      <c r="G147" s="221"/>
      <c r="H147" s="221"/>
      <c r="I147" s="221"/>
    </row>
    <row r="148" spans="2:9" s="214" customFormat="1" x14ac:dyDescent="0.45">
      <c r="B148" s="221"/>
      <c r="C148" s="221"/>
      <c r="D148" s="221"/>
      <c r="E148" s="221"/>
      <c r="F148" s="221"/>
      <c r="G148" s="221"/>
      <c r="H148" s="221"/>
      <c r="I148" s="221"/>
    </row>
    <row r="149" spans="2:9" s="214" customFormat="1" x14ac:dyDescent="0.45">
      <c r="B149" s="221"/>
      <c r="C149" s="221"/>
      <c r="D149" s="221"/>
      <c r="E149" s="221"/>
      <c r="F149" s="221"/>
      <c r="G149" s="221"/>
      <c r="H149" s="221"/>
      <c r="I149" s="221"/>
    </row>
    <row r="150" spans="2:9" s="214" customFormat="1" x14ac:dyDescent="0.45">
      <c r="B150" s="221"/>
      <c r="C150" s="221"/>
      <c r="D150" s="221"/>
      <c r="E150" s="221"/>
      <c r="F150" s="221"/>
      <c r="G150" s="221"/>
      <c r="H150" s="221"/>
      <c r="I150" s="221"/>
    </row>
    <row r="151" spans="2:9" s="214" customFormat="1" x14ac:dyDescent="0.45">
      <c r="B151" s="221"/>
      <c r="C151" s="221"/>
      <c r="D151" s="221"/>
      <c r="E151" s="221"/>
      <c r="F151" s="221"/>
      <c r="G151" s="221"/>
      <c r="H151" s="221"/>
      <c r="I151" s="221"/>
    </row>
    <row r="152" spans="2:9" s="214" customFormat="1" x14ac:dyDescent="0.45">
      <c r="B152" s="221"/>
      <c r="C152" s="221"/>
      <c r="D152" s="221"/>
      <c r="E152" s="221"/>
      <c r="F152" s="221"/>
      <c r="G152" s="221"/>
      <c r="H152" s="221"/>
      <c r="I152" s="221"/>
    </row>
    <row r="153" spans="2:9" s="214" customFormat="1" x14ac:dyDescent="0.45">
      <c r="B153" s="221"/>
      <c r="C153" s="221"/>
      <c r="D153" s="221"/>
      <c r="E153" s="221"/>
      <c r="F153" s="221"/>
      <c r="G153" s="221"/>
      <c r="H153" s="221"/>
      <c r="I153" s="221"/>
    </row>
    <row r="154" spans="2:9" s="214" customFormat="1" x14ac:dyDescent="0.45">
      <c r="B154" s="221"/>
      <c r="C154" s="221"/>
      <c r="D154" s="221"/>
      <c r="E154" s="221"/>
      <c r="F154" s="221"/>
      <c r="G154" s="221"/>
      <c r="H154" s="221"/>
      <c r="I154" s="221"/>
    </row>
    <row r="155" spans="2:9" s="214" customFormat="1" x14ac:dyDescent="0.45">
      <c r="B155" s="221"/>
      <c r="C155" s="221"/>
      <c r="D155" s="221"/>
      <c r="E155" s="221"/>
      <c r="F155" s="221"/>
      <c r="G155" s="221"/>
      <c r="H155" s="221"/>
      <c r="I155" s="221"/>
    </row>
    <row r="156" spans="2:9" s="214" customFormat="1" x14ac:dyDescent="0.45">
      <c r="B156" s="221"/>
      <c r="C156" s="221"/>
      <c r="D156" s="221"/>
      <c r="E156" s="221"/>
      <c r="F156" s="221"/>
      <c r="G156" s="221"/>
      <c r="H156" s="221"/>
      <c r="I156" s="221"/>
    </row>
    <row r="157" spans="2:9" s="214" customFormat="1" x14ac:dyDescent="0.45">
      <c r="B157" s="221"/>
      <c r="C157" s="221"/>
      <c r="D157" s="221"/>
      <c r="E157" s="221"/>
      <c r="F157" s="221"/>
      <c r="G157" s="221"/>
      <c r="H157" s="221"/>
      <c r="I157" s="221"/>
    </row>
    <row r="158" spans="2:9" s="214" customFormat="1" x14ac:dyDescent="0.45">
      <c r="B158" s="221"/>
      <c r="C158" s="221"/>
      <c r="D158" s="221"/>
      <c r="E158" s="221"/>
      <c r="F158" s="221"/>
      <c r="G158" s="221"/>
      <c r="H158" s="221"/>
      <c r="I158" s="221"/>
    </row>
    <row r="159" spans="2:9" s="214" customFormat="1" x14ac:dyDescent="0.45">
      <c r="B159" s="221"/>
      <c r="C159" s="221"/>
      <c r="D159" s="221"/>
      <c r="E159" s="221"/>
      <c r="F159" s="221"/>
      <c r="G159" s="221"/>
      <c r="H159" s="221"/>
      <c r="I159" s="221"/>
    </row>
    <row r="160" spans="2:9" s="214" customFormat="1" x14ac:dyDescent="0.45">
      <c r="B160" s="221"/>
      <c r="C160" s="221"/>
      <c r="D160" s="221"/>
      <c r="E160" s="221"/>
      <c r="F160" s="221"/>
      <c r="G160" s="221"/>
      <c r="H160" s="221"/>
      <c r="I160" s="221"/>
    </row>
    <row r="161" spans="2:9" s="214" customFormat="1" x14ac:dyDescent="0.45">
      <c r="B161" s="221"/>
      <c r="C161" s="221"/>
      <c r="D161" s="221"/>
      <c r="E161" s="221"/>
      <c r="F161" s="221"/>
      <c r="G161" s="221"/>
      <c r="H161" s="221"/>
      <c r="I161" s="221"/>
    </row>
    <row r="162" spans="2:9" s="214" customFormat="1" x14ac:dyDescent="0.45">
      <c r="B162" s="221"/>
      <c r="C162" s="221"/>
      <c r="D162" s="221"/>
      <c r="E162" s="221"/>
      <c r="F162" s="221"/>
      <c r="G162" s="221"/>
      <c r="H162" s="221"/>
      <c r="I162" s="221"/>
    </row>
    <row r="163" spans="2:9" s="214" customFormat="1" x14ac:dyDescent="0.45">
      <c r="B163" s="221"/>
      <c r="C163" s="221"/>
      <c r="D163" s="221"/>
      <c r="E163" s="221"/>
      <c r="F163" s="221"/>
      <c r="G163" s="221"/>
      <c r="H163" s="221"/>
      <c r="I163" s="221"/>
    </row>
    <row r="164" spans="2:9" s="214" customFormat="1" x14ac:dyDescent="0.45">
      <c r="B164" s="221"/>
      <c r="C164" s="221"/>
      <c r="D164" s="221"/>
      <c r="E164" s="221"/>
      <c r="F164" s="221"/>
      <c r="G164" s="221"/>
      <c r="H164" s="221"/>
      <c r="I164" s="221"/>
    </row>
    <row r="165" spans="2:9" s="214" customFormat="1" x14ac:dyDescent="0.45">
      <c r="B165" s="221"/>
      <c r="C165" s="221"/>
      <c r="D165" s="221"/>
      <c r="E165" s="221"/>
      <c r="F165" s="221"/>
      <c r="G165" s="221"/>
      <c r="H165" s="221"/>
      <c r="I165" s="221"/>
    </row>
    <row r="166" spans="2:9" s="214" customFormat="1" x14ac:dyDescent="0.45">
      <c r="B166" s="221"/>
      <c r="C166" s="221"/>
      <c r="D166" s="221"/>
      <c r="E166" s="221"/>
      <c r="F166" s="221"/>
      <c r="G166" s="221"/>
      <c r="H166" s="221"/>
      <c r="I166" s="221"/>
    </row>
    <row r="167" spans="2:9" s="214" customFormat="1" x14ac:dyDescent="0.45">
      <c r="B167" s="221"/>
      <c r="C167" s="221"/>
      <c r="D167" s="221"/>
      <c r="E167" s="221"/>
      <c r="F167" s="221"/>
      <c r="G167" s="221"/>
      <c r="H167" s="221"/>
      <c r="I167" s="221"/>
    </row>
    <row r="168" spans="2:9" s="214" customFormat="1" x14ac:dyDescent="0.45">
      <c r="B168" s="221"/>
      <c r="C168" s="221"/>
      <c r="D168" s="221"/>
      <c r="E168" s="221"/>
      <c r="F168" s="221"/>
      <c r="G168" s="221"/>
      <c r="H168" s="221"/>
      <c r="I168" s="221"/>
    </row>
    <row r="169" spans="2:9" s="214" customFormat="1" x14ac:dyDescent="0.45">
      <c r="B169" s="221"/>
      <c r="C169" s="221"/>
      <c r="D169" s="221"/>
      <c r="E169" s="221"/>
      <c r="F169" s="221"/>
      <c r="G169" s="221"/>
      <c r="H169" s="221"/>
      <c r="I169" s="221"/>
    </row>
    <row r="170" spans="2:9" s="214" customFormat="1" x14ac:dyDescent="0.45">
      <c r="B170" s="221"/>
      <c r="C170" s="221"/>
      <c r="D170" s="221"/>
      <c r="E170" s="221"/>
      <c r="F170" s="221"/>
      <c r="G170" s="221"/>
      <c r="H170" s="221"/>
      <c r="I170" s="221"/>
    </row>
    <row r="171" spans="2:9" s="214" customFormat="1" x14ac:dyDescent="0.45">
      <c r="B171" s="221"/>
      <c r="C171" s="221"/>
      <c r="D171" s="221"/>
      <c r="E171" s="221"/>
      <c r="F171" s="221"/>
      <c r="G171" s="221"/>
      <c r="H171" s="221"/>
      <c r="I171" s="221"/>
    </row>
    <row r="172" spans="2:9" s="214" customFormat="1" x14ac:dyDescent="0.45">
      <c r="B172" s="221"/>
      <c r="C172" s="221"/>
      <c r="D172" s="221"/>
      <c r="E172" s="221"/>
      <c r="F172" s="221"/>
      <c r="G172" s="221"/>
      <c r="H172" s="221"/>
      <c r="I172" s="221"/>
    </row>
    <row r="173" spans="2:9" s="214" customFormat="1" x14ac:dyDescent="0.45">
      <c r="B173" s="221"/>
      <c r="C173" s="221"/>
      <c r="D173" s="221"/>
      <c r="E173" s="221"/>
      <c r="F173" s="221"/>
      <c r="G173" s="221"/>
      <c r="H173" s="221"/>
      <c r="I173" s="221"/>
    </row>
    <row r="174" spans="2:9" s="214" customFormat="1" x14ac:dyDescent="0.45">
      <c r="B174" s="221"/>
      <c r="C174" s="221"/>
      <c r="D174" s="221"/>
      <c r="E174" s="221"/>
      <c r="F174" s="221"/>
      <c r="G174" s="221"/>
      <c r="H174" s="221"/>
      <c r="I174" s="221"/>
    </row>
    <row r="175" spans="2:9" s="214" customFormat="1" x14ac:dyDescent="0.45">
      <c r="B175" s="221"/>
      <c r="C175" s="221"/>
      <c r="D175" s="221"/>
      <c r="E175" s="221"/>
      <c r="F175" s="221"/>
      <c r="G175" s="221"/>
      <c r="H175" s="221"/>
      <c r="I175" s="221"/>
    </row>
    <row r="176" spans="2:9" s="214" customFormat="1" x14ac:dyDescent="0.45">
      <c r="B176" s="221"/>
      <c r="C176" s="221"/>
      <c r="D176" s="221"/>
      <c r="E176" s="221"/>
      <c r="F176" s="221"/>
      <c r="G176" s="221"/>
      <c r="H176" s="221"/>
      <c r="I176" s="221"/>
    </row>
    <row r="177" spans="2:9" s="214" customFormat="1" x14ac:dyDescent="0.45">
      <c r="B177" s="221"/>
      <c r="C177" s="221"/>
      <c r="D177" s="221"/>
      <c r="E177" s="221"/>
      <c r="F177" s="221"/>
      <c r="G177" s="221"/>
      <c r="H177" s="221"/>
      <c r="I177" s="221"/>
    </row>
    <row r="178" spans="2:9" s="214" customFormat="1" x14ac:dyDescent="0.45">
      <c r="B178" s="221"/>
      <c r="C178" s="221"/>
      <c r="D178" s="221"/>
      <c r="E178" s="221"/>
      <c r="F178" s="221"/>
      <c r="G178" s="221"/>
      <c r="H178" s="221"/>
      <c r="I178" s="221"/>
    </row>
    <row r="179" spans="2:9" s="214" customFormat="1" x14ac:dyDescent="0.45">
      <c r="B179" s="221"/>
      <c r="C179" s="221"/>
      <c r="D179" s="221"/>
      <c r="E179" s="221"/>
      <c r="F179" s="221"/>
      <c r="G179" s="221"/>
      <c r="H179" s="221"/>
      <c r="I179" s="221"/>
    </row>
    <row r="180" spans="2:9" s="214" customFormat="1" x14ac:dyDescent="0.45">
      <c r="B180" s="221"/>
      <c r="C180" s="221"/>
      <c r="D180" s="221"/>
      <c r="E180" s="221"/>
      <c r="F180" s="221"/>
      <c r="G180" s="221"/>
      <c r="H180" s="221"/>
      <c r="I180" s="221"/>
    </row>
    <row r="181" spans="2:9" s="214" customFormat="1" x14ac:dyDescent="0.45">
      <c r="B181" s="221"/>
      <c r="C181" s="221"/>
      <c r="D181" s="221"/>
      <c r="E181" s="221"/>
      <c r="F181" s="221"/>
      <c r="G181" s="221"/>
      <c r="H181" s="221"/>
      <c r="I181" s="221"/>
    </row>
    <row r="182" spans="2:9" s="214" customFormat="1" x14ac:dyDescent="0.45">
      <c r="B182" s="221"/>
      <c r="C182" s="221"/>
      <c r="D182" s="221"/>
      <c r="E182" s="221"/>
      <c r="F182" s="221"/>
      <c r="G182" s="221"/>
      <c r="H182" s="221"/>
      <c r="I182" s="221"/>
    </row>
    <row r="183" spans="2:9" s="214" customFormat="1" x14ac:dyDescent="0.45">
      <c r="B183" s="221"/>
      <c r="C183" s="221"/>
      <c r="D183" s="221"/>
      <c r="E183" s="221"/>
      <c r="F183" s="221"/>
      <c r="G183" s="221"/>
      <c r="H183" s="221"/>
      <c r="I183" s="221"/>
    </row>
    <row r="184" spans="2:9" s="214" customFormat="1" x14ac:dyDescent="0.45">
      <c r="B184" s="221"/>
      <c r="C184" s="221"/>
      <c r="D184" s="221"/>
      <c r="E184" s="221"/>
      <c r="F184" s="221"/>
      <c r="G184" s="221"/>
      <c r="H184" s="221"/>
      <c r="I184" s="221"/>
    </row>
    <row r="185" spans="2:9" s="214" customFormat="1" x14ac:dyDescent="0.45">
      <c r="B185" s="221"/>
      <c r="C185" s="221"/>
      <c r="D185" s="221"/>
      <c r="E185" s="221"/>
      <c r="F185" s="221"/>
      <c r="G185" s="221"/>
      <c r="H185" s="221"/>
      <c r="I185" s="221"/>
    </row>
    <row r="186" spans="2:9" s="214" customFormat="1" x14ac:dyDescent="0.45">
      <c r="B186" s="221"/>
      <c r="C186" s="221"/>
      <c r="D186" s="221"/>
      <c r="E186" s="221"/>
      <c r="F186" s="221"/>
      <c r="G186" s="221"/>
      <c r="H186" s="221"/>
      <c r="I186" s="221"/>
    </row>
    <row r="187" spans="2:9" s="214" customFormat="1" x14ac:dyDescent="0.45">
      <c r="B187" s="221"/>
      <c r="C187" s="221"/>
      <c r="D187" s="221"/>
      <c r="E187" s="221"/>
      <c r="F187" s="221"/>
      <c r="G187" s="221"/>
      <c r="H187" s="221"/>
      <c r="I187" s="221"/>
    </row>
    <row r="188" spans="2:9" s="214" customFormat="1" x14ac:dyDescent="0.45">
      <c r="B188" s="221"/>
      <c r="C188" s="221"/>
      <c r="D188" s="221"/>
      <c r="E188" s="221"/>
      <c r="F188" s="221"/>
      <c r="G188" s="221"/>
      <c r="H188" s="221"/>
      <c r="I188" s="221"/>
    </row>
    <row r="189" spans="2:9" s="214" customFormat="1" x14ac:dyDescent="0.45">
      <c r="B189" s="221"/>
      <c r="C189" s="221"/>
      <c r="D189" s="221"/>
      <c r="E189" s="221"/>
      <c r="F189" s="221"/>
      <c r="G189" s="221"/>
      <c r="H189" s="221"/>
      <c r="I189" s="221"/>
    </row>
    <row r="190" spans="2:9" s="214" customFormat="1" x14ac:dyDescent="0.45">
      <c r="B190" s="221"/>
      <c r="C190" s="221"/>
      <c r="D190" s="221"/>
      <c r="E190" s="221"/>
      <c r="F190" s="221"/>
      <c r="G190" s="221"/>
      <c r="H190" s="221"/>
      <c r="I190" s="221"/>
    </row>
    <row r="191" spans="2:9" s="214" customFormat="1" x14ac:dyDescent="0.45">
      <c r="B191" s="221"/>
      <c r="C191" s="221"/>
      <c r="D191" s="221"/>
      <c r="E191" s="221"/>
      <c r="F191" s="221"/>
      <c r="G191" s="221"/>
      <c r="H191" s="221"/>
      <c r="I191" s="221"/>
    </row>
    <row r="192" spans="2:9" s="214" customFormat="1" x14ac:dyDescent="0.45">
      <c r="B192" s="221"/>
      <c r="C192" s="221"/>
      <c r="D192" s="221"/>
      <c r="E192" s="221"/>
      <c r="F192" s="221"/>
      <c r="G192" s="221"/>
      <c r="H192" s="221"/>
      <c r="I192" s="221"/>
    </row>
    <row r="193" spans="2:9" s="214" customFormat="1" x14ac:dyDescent="0.45">
      <c r="B193" s="221"/>
      <c r="C193" s="221"/>
      <c r="D193" s="221"/>
      <c r="E193" s="221"/>
      <c r="F193" s="221"/>
      <c r="G193" s="221"/>
      <c r="H193" s="221"/>
      <c r="I193" s="221"/>
    </row>
    <row r="194" spans="2:9" s="214" customFormat="1" x14ac:dyDescent="0.45">
      <c r="B194" s="221"/>
      <c r="C194" s="221"/>
      <c r="D194" s="221"/>
      <c r="E194" s="221"/>
      <c r="F194" s="221"/>
      <c r="G194" s="221"/>
      <c r="H194" s="221"/>
      <c r="I194" s="221"/>
    </row>
    <row r="195" spans="2:9" s="214" customFormat="1" x14ac:dyDescent="0.45">
      <c r="B195" s="221"/>
      <c r="C195" s="221"/>
      <c r="D195" s="221"/>
      <c r="E195" s="221"/>
      <c r="F195" s="221"/>
      <c r="G195" s="221"/>
      <c r="H195" s="221"/>
      <c r="I195" s="221"/>
    </row>
    <row r="196" spans="2:9" s="214" customFormat="1" x14ac:dyDescent="0.45">
      <c r="B196" s="221"/>
      <c r="C196" s="221"/>
      <c r="D196" s="221"/>
      <c r="E196" s="221"/>
      <c r="F196" s="221"/>
      <c r="G196" s="221"/>
      <c r="H196" s="221"/>
      <c r="I196" s="221"/>
    </row>
    <row r="197" spans="2:9" s="214" customFormat="1" x14ac:dyDescent="0.45">
      <c r="B197" s="221"/>
      <c r="C197" s="221"/>
      <c r="D197" s="221"/>
      <c r="E197" s="221"/>
      <c r="F197" s="221"/>
      <c r="G197" s="221"/>
      <c r="H197" s="221"/>
      <c r="I197" s="221"/>
    </row>
    <row r="198" spans="2:9" s="214" customFormat="1" x14ac:dyDescent="0.45">
      <c r="B198" s="221"/>
      <c r="C198" s="221"/>
      <c r="D198" s="221"/>
      <c r="E198" s="221"/>
      <c r="F198" s="221"/>
      <c r="G198" s="221"/>
      <c r="H198" s="221"/>
      <c r="I198" s="221"/>
    </row>
    <row r="199" spans="2:9" s="214" customFormat="1" x14ac:dyDescent="0.45">
      <c r="B199" s="221"/>
      <c r="C199" s="221"/>
      <c r="D199" s="221"/>
      <c r="E199" s="221"/>
      <c r="F199" s="221"/>
      <c r="G199" s="221"/>
      <c r="H199" s="221"/>
      <c r="I199" s="221"/>
    </row>
    <row r="200" spans="2:9" s="214" customFormat="1" x14ac:dyDescent="0.45">
      <c r="B200" s="221"/>
      <c r="C200" s="221"/>
      <c r="D200" s="221"/>
      <c r="E200" s="221"/>
      <c r="F200" s="221"/>
      <c r="G200" s="221"/>
      <c r="H200" s="221"/>
      <c r="I200" s="221"/>
    </row>
    <row r="201" spans="2:9" s="214" customFormat="1" x14ac:dyDescent="0.45">
      <c r="B201" s="221"/>
      <c r="C201" s="221"/>
      <c r="D201" s="221"/>
      <c r="E201" s="221"/>
      <c r="F201" s="221"/>
      <c r="G201" s="221"/>
      <c r="H201" s="221"/>
      <c r="I201" s="221"/>
    </row>
    <row r="202" spans="2:9" s="214" customFormat="1" x14ac:dyDescent="0.45">
      <c r="B202" s="221"/>
      <c r="C202" s="221"/>
      <c r="D202" s="221"/>
      <c r="E202" s="221"/>
      <c r="F202" s="221"/>
      <c r="G202" s="221"/>
      <c r="H202" s="221"/>
      <c r="I202" s="221"/>
    </row>
    <row r="203" spans="2:9" s="214" customFormat="1" x14ac:dyDescent="0.45">
      <c r="B203" s="221"/>
      <c r="C203" s="221"/>
      <c r="D203" s="221"/>
      <c r="E203" s="221"/>
      <c r="F203" s="221"/>
      <c r="G203" s="221"/>
      <c r="H203" s="221"/>
      <c r="I203" s="221"/>
    </row>
    <row r="204" spans="2:9" s="214" customFormat="1" x14ac:dyDescent="0.45">
      <c r="B204" s="221"/>
      <c r="C204" s="221"/>
      <c r="D204" s="221"/>
      <c r="E204" s="221"/>
      <c r="F204" s="221"/>
      <c r="G204" s="221"/>
      <c r="H204" s="221"/>
      <c r="I204" s="221"/>
    </row>
    <row r="205" spans="2:9" s="214" customFormat="1" x14ac:dyDescent="0.45">
      <c r="B205" s="221"/>
      <c r="C205" s="221"/>
      <c r="D205" s="221"/>
      <c r="E205" s="221"/>
      <c r="F205" s="221"/>
      <c r="G205" s="221"/>
      <c r="H205" s="221"/>
      <c r="I205" s="221"/>
    </row>
    <row r="206" spans="2:9" s="214" customFormat="1" x14ac:dyDescent="0.45">
      <c r="B206" s="221"/>
      <c r="C206" s="221"/>
      <c r="D206" s="221"/>
      <c r="E206" s="221"/>
      <c r="F206" s="221"/>
      <c r="G206" s="221"/>
      <c r="H206" s="221"/>
      <c r="I206" s="221"/>
    </row>
    <row r="207" spans="2:9" s="214" customFormat="1" x14ac:dyDescent="0.45">
      <c r="B207" s="221"/>
      <c r="C207" s="221"/>
      <c r="D207" s="221"/>
      <c r="E207" s="221"/>
      <c r="F207" s="221"/>
      <c r="G207" s="221"/>
      <c r="H207" s="221"/>
      <c r="I207" s="221"/>
    </row>
    <row r="208" spans="2:9" s="214" customFormat="1" x14ac:dyDescent="0.45">
      <c r="B208" s="221"/>
      <c r="C208" s="221"/>
      <c r="D208" s="221"/>
      <c r="E208" s="221"/>
      <c r="F208" s="221"/>
      <c r="G208" s="221"/>
      <c r="H208" s="221"/>
      <c r="I208" s="221"/>
    </row>
    <row r="209" spans="2:9" s="214" customFormat="1" x14ac:dyDescent="0.45">
      <c r="B209" s="221"/>
      <c r="C209" s="221"/>
      <c r="D209" s="221"/>
      <c r="E209" s="221"/>
      <c r="F209" s="221"/>
      <c r="G209" s="221"/>
      <c r="H209" s="221"/>
      <c r="I209" s="221"/>
    </row>
    <row r="210" spans="2:9" s="214" customFormat="1" x14ac:dyDescent="0.45">
      <c r="B210" s="221"/>
      <c r="C210" s="221"/>
      <c r="D210" s="221"/>
      <c r="E210" s="221"/>
      <c r="F210" s="221"/>
      <c r="G210" s="221"/>
      <c r="H210" s="221"/>
      <c r="I210" s="221"/>
    </row>
    <row r="211" spans="2:9" s="214" customFormat="1" x14ac:dyDescent="0.45">
      <c r="B211" s="221"/>
      <c r="C211" s="221"/>
      <c r="D211" s="221"/>
      <c r="E211" s="221"/>
      <c r="F211" s="221"/>
      <c r="G211" s="221"/>
      <c r="H211" s="221"/>
      <c r="I211" s="221"/>
    </row>
    <row r="212" spans="2:9" s="214" customFormat="1" x14ac:dyDescent="0.45">
      <c r="B212" s="221"/>
      <c r="C212" s="221"/>
      <c r="D212" s="221"/>
      <c r="E212" s="221"/>
      <c r="F212" s="221"/>
      <c r="G212" s="221"/>
      <c r="H212" s="221"/>
      <c r="I212" s="221"/>
    </row>
    <row r="213" spans="2:9" s="214" customFormat="1" x14ac:dyDescent="0.45">
      <c r="B213" s="221"/>
      <c r="C213" s="221"/>
      <c r="D213" s="221"/>
      <c r="E213" s="221"/>
      <c r="F213" s="221"/>
      <c r="G213" s="221"/>
      <c r="H213" s="221"/>
      <c r="I213" s="221"/>
    </row>
    <row r="214" spans="2:9" s="214" customFormat="1" x14ac:dyDescent="0.45">
      <c r="B214" s="221"/>
      <c r="C214" s="221"/>
      <c r="D214" s="221"/>
      <c r="E214" s="221"/>
      <c r="F214" s="221"/>
      <c r="G214" s="221"/>
      <c r="H214" s="221"/>
      <c r="I214" s="221"/>
    </row>
    <row r="215" spans="2:9" s="214" customFormat="1" x14ac:dyDescent="0.45">
      <c r="B215" s="221"/>
      <c r="C215" s="221"/>
      <c r="D215" s="221"/>
      <c r="E215" s="221"/>
      <c r="F215" s="221"/>
      <c r="G215" s="221"/>
      <c r="H215" s="221"/>
      <c r="I215" s="221"/>
    </row>
    <row r="216" spans="2:9" s="214" customFormat="1" x14ac:dyDescent="0.45">
      <c r="B216" s="221"/>
      <c r="C216" s="221"/>
      <c r="D216" s="221"/>
      <c r="E216" s="221"/>
      <c r="F216" s="221"/>
      <c r="G216" s="221"/>
      <c r="H216" s="221"/>
      <c r="I216" s="221"/>
    </row>
    <row r="217" spans="2:9" s="214" customFormat="1" x14ac:dyDescent="0.45">
      <c r="B217" s="221"/>
      <c r="C217" s="221"/>
      <c r="D217" s="221"/>
      <c r="E217" s="221"/>
      <c r="F217" s="221"/>
      <c r="G217" s="221"/>
      <c r="H217" s="221"/>
      <c r="I217" s="221"/>
    </row>
    <row r="218" spans="2:9" s="214" customFormat="1" x14ac:dyDescent="0.45">
      <c r="B218" s="221"/>
      <c r="C218" s="221"/>
      <c r="D218" s="221"/>
      <c r="E218" s="221"/>
      <c r="F218" s="221"/>
      <c r="G218" s="221"/>
      <c r="H218" s="221"/>
      <c r="I218" s="221"/>
    </row>
    <row r="219" spans="2:9" s="214" customFormat="1" x14ac:dyDescent="0.45">
      <c r="B219" s="221"/>
      <c r="C219" s="221"/>
      <c r="D219" s="221"/>
      <c r="E219" s="221"/>
      <c r="F219" s="221"/>
      <c r="G219" s="221"/>
      <c r="H219" s="221"/>
      <c r="I219" s="221"/>
    </row>
    <row r="220" spans="2:9" s="214" customFormat="1" x14ac:dyDescent="0.45">
      <c r="B220" s="221"/>
      <c r="C220" s="221"/>
      <c r="D220" s="221"/>
      <c r="E220" s="221"/>
      <c r="F220" s="221"/>
      <c r="G220" s="221"/>
      <c r="H220" s="221"/>
      <c r="I220" s="221"/>
    </row>
    <row r="221" spans="2:9" s="214" customFormat="1" x14ac:dyDescent="0.45">
      <c r="B221" s="221"/>
      <c r="C221" s="221"/>
      <c r="D221" s="221"/>
      <c r="E221" s="221"/>
      <c r="F221" s="221"/>
      <c r="G221" s="221"/>
      <c r="H221" s="221"/>
      <c r="I221" s="221"/>
    </row>
    <row r="222" spans="2:9" s="214" customFormat="1" x14ac:dyDescent="0.45">
      <c r="B222" s="221"/>
      <c r="C222" s="221"/>
      <c r="D222" s="221"/>
      <c r="E222" s="221"/>
      <c r="F222" s="221"/>
      <c r="G222" s="221"/>
      <c r="H222" s="221"/>
      <c r="I222" s="221"/>
    </row>
    <row r="223" spans="2:9" s="214" customFormat="1" x14ac:dyDescent="0.45">
      <c r="B223" s="221"/>
      <c r="C223" s="221"/>
      <c r="D223" s="221"/>
      <c r="E223" s="221"/>
      <c r="F223" s="221"/>
      <c r="G223" s="221"/>
      <c r="H223" s="221"/>
      <c r="I223" s="221"/>
    </row>
    <row r="224" spans="2:9" s="214" customFormat="1" x14ac:dyDescent="0.45">
      <c r="B224" s="221"/>
      <c r="C224" s="221"/>
      <c r="D224" s="221"/>
      <c r="E224" s="221"/>
      <c r="F224" s="221"/>
      <c r="G224" s="221"/>
      <c r="H224" s="221"/>
      <c r="I224" s="221"/>
    </row>
    <row r="225" spans="2:9" s="214" customFormat="1" x14ac:dyDescent="0.45">
      <c r="B225" s="221"/>
      <c r="C225" s="221"/>
      <c r="D225" s="221"/>
      <c r="E225" s="221"/>
      <c r="F225" s="221"/>
      <c r="G225" s="221"/>
      <c r="H225" s="221"/>
      <c r="I225" s="221"/>
    </row>
    <row r="226" spans="2:9" s="214" customFormat="1" x14ac:dyDescent="0.45">
      <c r="B226" s="221"/>
      <c r="C226" s="221"/>
      <c r="D226" s="221"/>
      <c r="E226" s="221"/>
      <c r="F226" s="221"/>
      <c r="G226" s="221"/>
      <c r="H226" s="221"/>
      <c r="I226" s="221"/>
    </row>
    <row r="227" spans="2:9" s="214" customFormat="1" x14ac:dyDescent="0.45">
      <c r="B227" s="221"/>
      <c r="C227" s="221"/>
      <c r="D227" s="221"/>
      <c r="E227" s="221"/>
      <c r="F227" s="221"/>
      <c r="G227" s="221"/>
      <c r="H227" s="221"/>
      <c r="I227" s="221"/>
    </row>
    <row r="228" spans="2:9" s="214" customFormat="1" x14ac:dyDescent="0.45">
      <c r="B228" s="221"/>
      <c r="C228" s="221"/>
      <c r="D228" s="221"/>
      <c r="E228" s="221"/>
      <c r="F228" s="221"/>
      <c r="G228" s="221"/>
      <c r="H228" s="221"/>
      <c r="I228" s="221"/>
    </row>
    <row r="229" spans="2:9" s="214" customFormat="1" x14ac:dyDescent="0.45">
      <c r="B229" s="221"/>
      <c r="C229" s="221"/>
      <c r="D229" s="221"/>
      <c r="E229" s="221"/>
      <c r="F229" s="221"/>
      <c r="G229" s="221"/>
      <c r="H229" s="221"/>
      <c r="I229" s="221"/>
    </row>
    <row r="230" spans="2:9" s="214" customFormat="1" x14ac:dyDescent="0.45">
      <c r="B230" s="221"/>
      <c r="C230" s="221"/>
      <c r="D230" s="221"/>
      <c r="E230" s="221"/>
      <c r="F230" s="221"/>
      <c r="G230" s="221"/>
      <c r="H230" s="221"/>
      <c r="I230" s="221"/>
    </row>
    <row r="231" spans="2:9" s="214" customFormat="1" x14ac:dyDescent="0.45">
      <c r="B231" s="221"/>
      <c r="C231" s="221"/>
      <c r="D231" s="221"/>
      <c r="E231" s="221"/>
      <c r="F231" s="221"/>
      <c r="G231" s="221"/>
      <c r="H231" s="221"/>
      <c r="I231" s="221"/>
    </row>
    <row r="232" spans="2:9" s="214" customFormat="1" x14ac:dyDescent="0.45">
      <c r="B232" s="221"/>
      <c r="C232" s="221"/>
      <c r="D232" s="221"/>
      <c r="E232" s="221"/>
      <c r="F232" s="221"/>
      <c r="G232" s="221"/>
      <c r="H232" s="221"/>
      <c r="I232" s="221"/>
    </row>
    <row r="233" spans="2:9" s="214" customFormat="1" x14ac:dyDescent="0.45">
      <c r="B233" s="221"/>
      <c r="C233" s="221"/>
      <c r="D233" s="221"/>
      <c r="E233" s="221"/>
      <c r="F233" s="221"/>
      <c r="G233" s="221"/>
      <c r="H233" s="221"/>
      <c r="I233" s="221"/>
    </row>
    <row r="234" spans="2:9" s="214" customFormat="1" x14ac:dyDescent="0.45">
      <c r="B234" s="221"/>
      <c r="C234" s="221"/>
      <c r="D234" s="221"/>
      <c r="E234" s="221"/>
      <c r="F234" s="221"/>
      <c r="G234" s="221"/>
      <c r="H234" s="221"/>
      <c r="I234" s="221"/>
    </row>
    <row r="235" spans="2:9" s="214" customFormat="1" x14ac:dyDescent="0.45">
      <c r="B235" s="221"/>
      <c r="C235" s="221"/>
      <c r="D235" s="221"/>
      <c r="E235" s="221"/>
      <c r="F235" s="221"/>
      <c r="G235" s="221"/>
      <c r="H235" s="221"/>
      <c r="I235" s="221"/>
    </row>
    <row r="236" spans="2:9" s="214" customFormat="1" x14ac:dyDescent="0.45">
      <c r="B236" s="221"/>
      <c r="C236" s="221"/>
      <c r="D236" s="221"/>
      <c r="E236" s="221"/>
      <c r="F236" s="221"/>
      <c r="G236" s="221"/>
      <c r="H236" s="221"/>
      <c r="I236" s="221"/>
    </row>
    <row r="237" spans="2:9" s="214" customFormat="1" x14ac:dyDescent="0.45">
      <c r="B237" s="221"/>
      <c r="C237" s="221"/>
      <c r="D237" s="221"/>
      <c r="E237" s="221"/>
      <c r="F237" s="221"/>
      <c r="G237" s="221"/>
      <c r="H237" s="221"/>
      <c r="I237" s="221"/>
    </row>
    <row r="238" spans="2:9" s="214" customFormat="1" x14ac:dyDescent="0.45">
      <c r="B238" s="221"/>
      <c r="C238" s="221"/>
      <c r="D238" s="221"/>
      <c r="E238" s="221"/>
      <c r="F238" s="221"/>
      <c r="G238" s="221"/>
      <c r="H238" s="221"/>
      <c r="I238" s="221"/>
    </row>
    <row r="239" spans="2:9" s="214" customFormat="1" x14ac:dyDescent="0.45">
      <c r="B239" s="221"/>
      <c r="C239" s="221"/>
      <c r="D239" s="221"/>
      <c r="E239" s="221"/>
      <c r="F239" s="221"/>
      <c r="G239" s="221"/>
      <c r="H239" s="221"/>
      <c r="I239" s="221"/>
    </row>
    <row r="240" spans="2:9" s="214" customFormat="1" x14ac:dyDescent="0.45">
      <c r="B240" s="221"/>
      <c r="C240" s="221"/>
      <c r="D240" s="221"/>
      <c r="E240" s="221"/>
      <c r="F240" s="221"/>
      <c r="G240" s="221"/>
      <c r="H240" s="221"/>
      <c r="I240" s="221"/>
    </row>
    <row r="241" spans="2:9" s="214" customFormat="1" x14ac:dyDescent="0.45">
      <c r="B241" s="221"/>
      <c r="C241" s="221"/>
      <c r="D241" s="221"/>
      <c r="E241" s="221"/>
      <c r="F241" s="221"/>
      <c r="G241" s="221"/>
      <c r="H241" s="221"/>
      <c r="I241" s="221"/>
    </row>
    <row r="242" spans="2:9" s="214" customFormat="1" x14ac:dyDescent="0.45">
      <c r="B242" s="221"/>
      <c r="C242" s="221"/>
      <c r="D242" s="221"/>
      <c r="E242" s="221"/>
      <c r="F242" s="221"/>
      <c r="G242" s="221"/>
      <c r="H242" s="221"/>
      <c r="I242" s="221"/>
    </row>
    <row r="243" spans="2:9" s="214" customFormat="1" x14ac:dyDescent="0.45">
      <c r="B243" s="221"/>
      <c r="C243" s="221"/>
      <c r="D243" s="221"/>
      <c r="E243" s="221"/>
      <c r="F243" s="221"/>
      <c r="G243" s="221"/>
      <c r="H243" s="221"/>
      <c r="I243" s="221"/>
    </row>
    <row r="244" spans="2:9" s="214" customFormat="1" x14ac:dyDescent="0.45">
      <c r="B244" s="221"/>
      <c r="C244" s="221"/>
      <c r="D244" s="221"/>
      <c r="E244" s="221"/>
      <c r="F244" s="221"/>
      <c r="G244" s="221"/>
      <c r="H244" s="221"/>
      <c r="I244" s="221"/>
    </row>
    <row r="245" spans="2:9" s="214" customFormat="1" x14ac:dyDescent="0.45">
      <c r="B245" s="221"/>
      <c r="C245" s="221"/>
      <c r="D245" s="221"/>
      <c r="E245" s="221"/>
      <c r="F245" s="221"/>
      <c r="G245" s="221"/>
      <c r="H245" s="221"/>
      <c r="I245" s="221"/>
    </row>
    <row r="246" spans="2:9" s="214" customFormat="1" x14ac:dyDescent="0.45">
      <c r="B246" s="221"/>
      <c r="C246" s="221"/>
      <c r="D246" s="221"/>
      <c r="E246" s="221"/>
      <c r="F246" s="221"/>
      <c r="G246" s="221"/>
      <c r="H246" s="221"/>
      <c r="I246" s="221"/>
    </row>
    <row r="247" spans="2:9" s="214" customFormat="1" x14ac:dyDescent="0.45">
      <c r="B247" s="221"/>
      <c r="C247" s="221"/>
      <c r="D247" s="221"/>
      <c r="E247" s="221"/>
      <c r="F247" s="221"/>
      <c r="G247" s="221"/>
      <c r="H247" s="221"/>
      <c r="I247" s="221"/>
    </row>
    <row r="248" spans="2:9" s="214" customFormat="1" x14ac:dyDescent="0.45">
      <c r="B248" s="221"/>
      <c r="C248" s="221"/>
      <c r="D248" s="221"/>
      <c r="E248" s="221"/>
      <c r="F248" s="221"/>
      <c r="G248" s="221"/>
      <c r="H248" s="221"/>
      <c r="I248" s="221"/>
    </row>
    <row r="249" spans="2:9" s="214" customFormat="1" x14ac:dyDescent="0.45">
      <c r="B249" s="221"/>
      <c r="C249" s="221"/>
      <c r="D249" s="221"/>
      <c r="E249" s="221"/>
      <c r="F249" s="221"/>
      <c r="G249" s="221"/>
      <c r="H249" s="221"/>
      <c r="I249" s="221"/>
    </row>
    <row r="250" spans="2:9" s="214" customFormat="1" x14ac:dyDescent="0.45">
      <c r="B250" s="221"/>
      <c r="C250" s="221"/>
      <c r="D250" s="221"/>
      <c r="E250" s="221"/>
      <c r="F250" s="221"/>
      <c r="G250" s="221"/>
      <c r="H250" s="221"/>
      <c r="I250" s="221"/>
    </row>
    <row r="251" spans="2:9" s="214" customFormat="1" x14ac:dyDescent="0.45">
      <c r="B251" s="221"/>
      <c r="C251" s="221"/>
      <c r="D251" s="221"/>
      <c r="E251" s="221"/>
      <c r="F251" s="221"/>
      <c r="G251" s="221"/>
      <c r="H251" s="221"/>
      <c r="I251" s="221"/>
    </row>
    <row r="252" spans="2:9" s="214" customFormat="1" x14ac:dyDescent="0.45">
      <c r="B252" s="221"/>
      <c r="C252" s="221"/>
      <c r="D252" s="221"/>
      <c r="E252" s="221"/>
      <c r="F252" s="221"/>
      <c r="G252" s="221"/>
      <c r="H252" s="221"/>
      <c r="I252" s="221"/>
    </row>
    <row r="253" spans="2:9" s="214" customFormat="1" x14ac:dyDescent="0.45">
      <c r="B253" s="221"/>
      <c r="C253" s="221"/>
      <c r="D253" s="221"/>
      <c r="E253" s="221"/>
      <c r="F253" s="221"/>
      <c r="G253" s="221"/>
      <c r="H253" s="221"/>
      <c r="I253" s="221"/>
    </row>
    <row r="254" spans="2:9" s="214" customFormat="1" x14ac:dyDescent="0.45">
      <c r="B254" s="221"/>
      <c r="C254" s="221"/>
      <c r="D254" s="221"/>
      <c r="E254" s="221"/>
      <c r="F254" s="221"/>
      <c r="G254" s="221"/>
      <c r="H254" s="221"/>
      <c r="I254" s="221"/>
    </row>
    <row r="255" spans="2:9" s="214" customFormat="1" x14ac:dyDescent="0.45">
      <c r="B255" s="221"/>
      <c r="C255" s="221"/>
      <c r="D255" s="221"/>
      <c r="E255" s="221"/>
      <c r="F255" s="221"/>
      <c r="G255" s="221"/>
      <c r="H255" s="221"/>
      <c r="I255" s="221"/>
    </row>
    <row r="256" spans="2:9" s="214" customFormat="1" x14ac:dyDescent="0.45">
      <c r="B256" s="221"/>
      <c r="C256" s="221"/>
      <c r="D256" s="221"/>
      <c r="E256" s="221"/>
      <c r="F256" s="221"/>
      <c r="G256" s="221"/>
      <c r="H256" s="221"/>
      <c r="I256" s="221"/>
    </row>
    <row r="257" spans="2:9" s="214" customFormat="1" x14ac:dyDescent="0.45">
      <c r="B257" s="221"/>
      <c r="C257" s="221"/>
      <c r="D257" s="221"/>
      <c r="E257" s="221"/>
      <c r="F257" s="221"/>
      <c r="G257" s="221"/>
      <c r="H257" s="221"/>
      <c r="I257" s="221"/>
    </row>
    <row r="258" spans="2:9" s="214" customFormat="1" x14ac:dyDescent="0.45">
      <c r="B258" s="221"/>
      <c r="C258" s="221"/>
      <c r="D258" s="221"/>
      <c r="E258" s="221"/>
      <c r="F258" s="221"/>
      <c r="G258" s="221"/>
      <c r="H258" s="221"/>
      <c r="I258" s="221"/>
    </row>
    <row r="259" spans="2:9" s="214" customFormat="1" x14ac:dyDescent="0.45">
      <c r="B259" s="221"/>
      <c r="C259" s="221"/>
      <c r="D259" s="221"/>
      <c r="E259" s="221"/>
      <c r="F259" s="221"/>
      <c r="G259" s="221"/>
      <c r="H259" s="221"/>
      <c r="I259" s="221"/>
    </row>
    <row r="260" spans="2:9" s="214" customFormat="1" x14ac:dyDescent="0.45">
      <c r="B260" s="221"/>
      <c r="C260" s="221"/>
      <c r="D260" s="221"/>
      <c r="E260" s="221"/>
      <c r="F260" s="221"/>
      <c r="G260" s="221"/>
      <c r="H260" s="221"/>
      <c r="I260" s="221"/>
    </row>
    <row r="261" spans="2:9" s="214" customFormat="1" x14ac:dyDescent="0.45">
      <c r="B261" s="221"/>
      <c r="C261" s="221"/>
      <c r="D261" s="221"/>
      <c r="E261" s="221"/>
      <c r="F261" s="221"/>
      <c r="G261" s="221"/>
      <c r="H261" s="221"/>
      <c r="I261" s="221"/>
    </row>
    <row r="262" spans="2:9" s="214" customFormat="1" x14ac:dyDescent="0.45">
      <c r="B262" s="221"/>
      <c r="C262" s="221"/>
      <c r="D262" s="221"/>
      <c r="E262" s="221"/>
      <c r="F262" s="221"/>
      <c r="G262" s="221"/>
      <c r="H262" s="221"/>
      <c r="I262" s="221"/>
    </row>
    <row r="263" spans="2:9" s="214" customFormat="1" x14ac:dyDescent="0.45">
      <c r="B263" s="221"/>
      <c r="C263" s="221"/>
      <c r="D263" s="221"/>
      <c r="E263" s="221"/>
      <c r="F263" s="221"/>
      <c r="G263" s="221"/>
      <c r="H263" s="221"/>
      <c r="I263" s="221"/>
    </row>
    <row r="264" spans="2:9" s="214" customFormat="1" x14ac:dyDescent="0.45">
      <c r="B264" s="221"/>
      <c r="C264" s="221"/>
      <c r="D264" s="221"/>
      <c r="E264" s="221"/>
      <c r="F264" s="221"/>
      <c r="G264" s="221"/>
      <c r="H264" s="221"/>
      <c r="I264" s="221"/>
    </row>
    <row r="265" spans="2:9" s="214" customFormat="1" x14ac:dyDescent="0.45">
      <c r="B265" s="221"/>
      <c r="C265" s="221"/>
      <c r="D265" s="221"/>
      <c r="E265" s="221"/>
      <c r="F265" s="221"/>
      <c r="G265" s="221"/>
      <c r="H265" s="221"/>
      <c r="I265" s="221"/>
    </row>
    <row r="266" spans="2:9" s="214" customFormat="1" x14ac:dyDescent="0.45">
      <c r="B266" s="221"/>
      <c r="C266" s="221"/>
      <c r="D266" s="221"/>
      <c r="E266" s="221"/>
      <c r="F266" s="221"/>
      <c r="G266" s="221"/>
      <c r="H266" s="221"/>
      <c r="I266" s="221"/>
    </row>
    <row r="267" spans="2:9" s="214" customFormat="1" x14ac:dyDescent="0.45">
      <c r="B267" s="221"/>
      <c r="C267" s="221"/>
      <c r="D267" s="221"/>
      <c r="E267" s="221"/>
      <c r="F267" s="221"/>
      <c r="G267" s="221"/>
      <c r="H267" s="221"/>
      <c r="I267" s="221"/>
    </row>
    <row r="268" spans="2:9" s="214" customFormat="1" x14ac:dyDescent="0.45">
      <c r="B268" s="221"/>
      <c r="C268" s="221"/>
      <c r="D268" s="221"/>
      <c r="E268" s="221"/>
      <c r="F268" s="221"/>
      <c r="G268" s="221"/>
      <c r="H268" s="221"/>
      <c r="I268" s="221"/>
    </row>
    <row r="269" spans="2:9" s="214" customFormat="1" x14ac:dyDescent="0.45">
      <c r="B269" s="221"/>
      <c r="C269" s="221"/>
      <c r="D269" s="221"/>
      <c r="E269" s="221"/>
      <c r="F269" s="221"/>
      <c r="G269" s="221"/>
      <c r="H269" s="221"/>
      <c r="I269" s="221"/>
    </row>
    <row r="270" spans="2:9" s="214" customFormat="1" x14ac:dyDescent="0.45">
      <c r="B270" s="221"/>
      <c r="C270" s="221"/>
      <c r="D270" s="221"/>
      <c r="E270" s="221"/>
      <c r="F270" s="221"/>
      <c r="G270" s="221"/>
      <c r="H270" s="221"/>
      <c r="I270" s="221"/>
    </row>
    <row r="271" spans="2:9" s="214" customFormat="1" x14ac:dyDescent="0.45">
      <c r="B271" s="221"/>
      <c r="C271" s="221"/>
      <c r="D271" s="221"/>
      <c r="E271" s="221"/>
      <c r="F271" s="221"/>
      <c r="G271" s="221"/>
      <c r="H271" s="221"/>
      <c r="I271" s="221"/>
    </row>
    <row r="272" spans="2:9" s="214" customFormat="1" x14ac:dyDescent="0.45">
      <c r="B272" s="221"/>
      <c r="C272" s="221"/>
      <c r="D272" s="221"/>
      <c r="E272" s="221"/>
      <c r="F272" s="221"/>
      <c r="G272" s="221"/>
      <c r="H272" s="221"/>
      <c r="I272" s="221"/>
    </row>
    <row r="273" spans="2:9" s="214" customFormat="1" x14ac:dyDescent="0.45">
      <c r="B273" s="221"/>
      <c r="C273" s="221"/>
      <c r="D273" s="221"/>
      <c r="E273" s="221"/>
      <c r="F273" s="221"/>
      <c r="G273" s="221"/>
      <c r="H273" s="221"/>
      <c r="I273" s="221"/>
    </row>
    <row r="274" spans="2:9" s="214" customFormat="1" x14ac:dyDescent="0.45">
      <c r="B274" s="221"/>
      <c r="C274" s="221"/>
      <c r="D274" s="221"/>
      <c r="E274" s="221"/>
      <c r="F274" s="221"/>
      <c r="G274" s="221"/>
      <c r="H274" s="221"/>
      <c r="I274" s="221"/>
    </row>
    <row r="275" spans="2:9" s="214" customFormat="1" x14ac:dyDescent="0.45">
      <c r="B275" s="221"/>
      <c r="C275" s="221"/>
      <c r="D275" s="221"/>
      <c r="E275" s="221"/>
      <c r="F275" s="221"/>
      <c r="G275" s="221"/>
      <c r="H275" s="221"/>
      <c r="I275" s="221"/>
    </row>
    <row r="276" spans="2:9" s="214" customFormat="1" x14ac:dyDescent="0.45">
      <c r="B276" s="221"/>
      <c r="C276" s="221"/>
      <c r="D276" s="221"/>
      <c r="E276" s="221"/>
      <c r="F276" s="221"/>
      <c r="G276" s="221"/>
      <c r="H276" s="221"/>
      <c r="I276" s="221"/>
    </row>
    <row r="277" spans="2:9" s="214" customFormat="1" x14ac:dyDescent="0.45">
      <c r="B277" s="221"/>
      <c r="C277" s="221"/>
      <c r="D277" s="221"/>
      <c r="E277" s="221"/>
      <c r="F277" s="221"/>
      <c r="G277" s="221"/>
      <c r="H277" s="221"/>
      <c r="I277" s="221"/>
    </row>
    <row r="278" spans="2:9" s="214" customFormat="1" x14ac:dyDescent="0.45">
      <c r="B278" s="221"/>
      <c r="C278" s="221"/>
      <c r="D278" s="221"/>
      <c r="E278" s="221"/>
      <c r="F278" s="221"/>
      <c r="G278" s="221"/>
      <c r="H278" s="221"/>
      <c r="I278" s="221"/>
    </row>
    <row r="279" spans="2:9" s="214" customFormat="1" x14ac:dyDescent="0.45">
      <c r="B279" s="221"/>
      <c r="C279" s="221"/>
      <c r="D279" s="221"/>
      <c r="E279" s="221"/>
      <c r="F279" s="221"/>
      <c r="G279" s="221"/>
      <c r="H279" s="221"/>
      <c r="I279" s="221"/>
    </row>
    <row r="280" spans="2:9" s="214" customFormat="1" x14ac:dyDescent="0.45">
      <c r="B280" s="221"/>
      <c r="C280" s="221"/>
      <c r="D280" s="221"/>
      <c r="E280" s="221"/>
      <c r="F280" s="221"/>
      <c r="G280" s="221"/>
      <c r="H280" s="221"/>
      <c r="I280" s="221"/>
    </row>
    <row r="281" spans="2:9" s="214" customFormat="1" x14ac:dyDescent="0.45">
      <c r="B281" s="221"/>
      <c r="C281" s="221"/>
      <c r="D281" s="221"/>
      <c r="E281" s="221"/>
      <c r="F281" s="221"/>
      <c r="G281" s="221"/>
      <c r="H281" s="221"/>
      <c r="I281" s="221"/>
    </row>
    <row r="282" spans="2:9" s="214" customFormat="1" x14ac:dyDescent="0.45">
      <c r="B282" s="221"/>
      <c r="C282" s="221"/>
      <c r="D282" s="221"/>
      <c r="E282" s="221"/>
      <c r="F282" s="221"/>
      <c r="G282" s="221"/>
      <c r="H282" s="221"/>
      <c r="I282" s="221"/>
    </row>
    <row r="283" spans="2:9" s="214" customFormat="1" x14ac:dyDescent="0.45">
      <c r="B283" s="221"/>
      <c r="C283" s="221"/>
      <c r="D283" s="221"/>
      <c r="E283" s="221"/>
      <c r="F283" s="221"/>
      <c r="G283" s="221"/>
      <c r="H283" s="221"/>
      <c r="I283" s="221"/>
    </row>
    <row r="284" spans="2:9" s="214" customFormat="1" x14ac:dyDescent="0.45">
      <c r="B284" s="221"/>
      <c r="C284" s="221"/>
      <c r="D284" s="221"/>
      <c r="E284" s="221"/>
      <c r="F284" s="221"/>
      <c r="G284" s="221"/>
      <c r="H284" s="221"/>
      <c r="I284" s="221"/>
    </row>
    <row r="285" spans="2:9" s="214" customFormat="1" x14ac:dyDescent="0.45">
      <c r="B285" s="221"/>
      <c r="C285" s="221"/>
      <c r="D285" s="221"/>
      <c r="E285" s="221"/>
      <c r="F285" s="221"/>
      <c r="G285" s="221"/>
      <c r="H285" s="221"/>
      <c r="I285" s="221"/>
    </row>
    <row r="286" spans="2:9" s="214" customFormat="1" x14ac:dyDescent="0.45">
      <c r="B286" s="221"/>
      <c r="C286" s="221"/>
      <c r="D286" s="221"/>
      <c r="E286" s="221"/>
      <c r="F286" s="221"/>
      <c r="G286" s="221"/>
      <c r="H286" s="221"/>
      <c r="I286" s="221"/>
    </row>
    <row r="287" spans="2:9" s="214" customFormat="1" x14ac:dyDescent="0.45">
      <c r="B287" s="221"/>
      <c r="C287" s="221"/>
      <c r="D287" s="221"/>
      <c r="E287" s="221"/>
      <c r="F287" s="221"/>
      <c r="G287" s="221"/>
      <c r="H287" s="221"/>
      <c r="I287" s="221"/>
    </row>
    <row r="288" spans="2:9" s="214" customFormat="1" x14ac:dyDescent="0.45">
      <c r="B288" s="221"/>
      <c r="C288" s="221"/>
      <c r="D288" s="221"/>
      <c r="E288" s="221"/>
      <c r="F288" s="221"/>
      <c r="G288" s="221"/>
      <c r="H288" s="221"/>
      <c r="I288" s="221"/>
    </row>
    <row r="289" spans="2:9" s="214" customFormat="1" x14ac:dyDescent="0.45">
      <c r="B289" s="221"/>
      <c r="C289" s="221"/>
      <c r="D289" s="221"/>
      <c r="E289" s="221"/>
      <c r="F289" s="221"/>
      <c r="G289" s="221"/>
      <c r="H289" s="221"/>
      <c r="I289" s="221"/>
    </row>
    <row r="290" spans="2:9" s="214" customFormat="1" x14ac:dyDescent="0.45">
      <c r="B290" s="221"/>
      <c r="C290" s="221"/>
      <c r="D290" s="221"/>
      <c r="E290" s="221"/>
      <c r="F290" s="221"/>
      <c r="G290" s="221"/>
      <c r="H290" s="221"/>
      <c r="I290" s="221"/>
    </row>
    <row r="291" spans="2:9" s="214" customFormat="1" x14ac:dyDescent="0.45">
      <c r="B291" s="221"/>
      <c r="C291" s="221"/>
      <c r="D291" s="221"/>
      <c r="E291" s="221"/>
      <c r="F291" s="221"/>
      <c r="G291" s="221"/>
      <c r="H291" s="221"/>
      <c r="I291" s="221"/>
    </row>
    <row r="292" spans="2:9" s="214" customFormat="1" x14ac:dyDescent="0.45">
      <c r="B292" s="221"/>
      <c r="C292" s="221"/>
      <c r="D292" s="221"/>
      <c r="E292" s="221"/>
      <c r="F292" s="221"/>
      <c r="G292" s="221"/>
      <c r="H292" s="221"/>
      <c r="I292" s="221"/>
    </row>
    <row r="293" spans="2:9" s="214" customFormat="1" x14ac:dyDescent="0.45">
      <c r="B293" s="221"/>
      <c r="C293" s="221"/>
      <c r="D293" s="221"/>
      <c r="E293" s="221"/>
      <c r="F293" s="221"/>
      <c r="G293" s="221"/>
      <c r="H293" s="221"/>
      <c r="I293" s="221"/>
    </row>
    <row r="294" spans="2:9" s="214" customFormat="1" x14ac:dyDescent="0.45">
      <c r="B294" s="221"/>
      <c r="C294" s="221"/>
      <c r="D294" s="221"/>
      <c r="E294" s="221"/>
      <c r="F294" s="221"/>
      <c r="G294" s="221"/>
      <c r="H294" s="221"/>
      <c r="I294" s="221"/>
    </row>
    <row r="295" spans="2:9" s="214" customFormat="1" x14ac:dyDescent="0.45">
      <c r="B295" s="221"/>
      <c r="C295" s="221"/>
      <c r="D295" s="221"/>
      <c r="E295" s="221"/>
      <c r="F295" s="221"/>
      <c r="G295" s="221"/>
      <c r="H295" s="221"/>
      <c r="I295" s="221"/>
    </row>
    <row r="296" spans="2:9" s="214" customFormat="1" x14ac:dyDescent="0.45">
      <c r="B296" s="221"/>
      <c r="C296" s="221"/>
      <c r="D296" s="221"/>
      <c r="E296" s="221"/>
      <c r="F296" s="221"/>
      <c r="G296" s="221"/>
      <c r="H296" s="221"/>
      <c r="I296" s="221"/>
    </row>
    <row r="297" spans="2:9" s="214" customFormat="1" x14ac:dyDescent="0.45">
      <c r="B297" s="221"/>
      <c r="C297" s="221"/>
      <c r="D297" s="221"/>
      <c r="E297" s="221"/>
      <c r="F297" s="221"/>
      <c r="G297" s="221"/>
      <c r="H297" s="221"/>
      <c r="I297" s="221"/>
    </row>
    <row r="298" spans="2:9" s="214" customFormat="1" x14ac:dyDescent="0.45">
      <c r="B298" s="221"/>
      <c r="C298" s="221"/>
      <c r="D298" s="221"/>
      <c r="E298" s="221"/>
      <c r="F298" s="221"/>
      <c r="G298" s="221"/>
      <c r="H298" s="221"/>
      <c r="I298" s="221"/>
    </row>
    <row r="299" spans="2:9" s="214" customFormat="1" x14ac:dyDescent="0.45">
      <c r="B299" s="221"/>
      <c r="C299" s="221"/>
      <c r="D299" s="221"/>
      <c r="E299" s="221"/>
      <c r="F299" s="221"/>
      <c r="G299" s="221"/>
      <c r="H299" s="221"/>
      <c r="I299" s="221"/>
    </row>
    <row r="300" spans="2:9" s="214" customFormat="1" x14ac:dyDescent="0.45">
      <c r="B300" s="221"/>
      <c r="C300" s="221"/>
      <c r="D300" s="221"/>
      <c r="E300" s="221"/>
      <c r="F300" s="221"/>
      <c r="G300" s="221"/>
      <c r="H300" s="221"/>
      <c r="I300" s="221"/>
    </row>
    <row r="301" spans="2:9" s="214" customFormat="1" x14ac:dyDescent="0.45">
      <c r="B301" s="221"/>
      <c r="C301" s="221"/>
      <c r="D301" s="221"/>
      <c r="E301" s="221"/>
      <c r="F301" s="221"/>
      <c r="G301" s="221"/>
      <c r="H301" s="221"/>
      <c r="I301" s="221"/>
    </row>
    <row r="302" spans="2:9" s="214" customFormat="1" x14ac:dyDescent="0.45">
      <c r="B302" s="221"/>
      <c r="C302" s="221"/>
      <c r="D302" s="221"/>
      <c r="E302" s="221"/>
      <c r="F302" s="221"/>
      <c r="G302" s="221"/>
      <c r="H302" s="221"/>
      <c r="I302" s="221"/>
    </row>
    <row r="303" spans="2:9" s="214" customFormat="1" x14ac:dyDescent="0.45">
      <c r="B303" s="221"/>
      <c r="C303" s="221"/>
      <c r="D303" s="221"/>
      <c r="E303" s="221"/>
      <c r="F303" s="221"/>
      <c r="G303" s="221"/>
      <c r="H303" s="221"/>
      <c r="I303" s="221"/>
    </row>
    <row r="304" spans="2:9" s="214" customFormat="1" x14ac:dyDescent="0.45">
      <c r="B304" s="221"/>
      <c r="C304" s="221"/>
      <c r="D304" s="221"/>
      <c r="E304" s="221"/>
      <c r="F304" s="221"/>
      <c r="G304" s="221"/>
      <c r="H304" s="221"/>
      <c r="I304" s="221"/>
    </row>
    <row r="305" spans="2:9" s="214" customFormat="1" x14ac:dyDescent="0.45">
      <c r="B305" s="221"/>
      <c r="C305" s="221"/>
      <c r="D305" s="221"/>
      <c r="E305" s="221"/>
      <c r="F305" s="221"/>
      <c r="G305" s="221"/>
      <c r="H305" s="221"/>
      <c r="I305" s="221"/>
    </row>
    <row r="306" spans="2:9" s="214" customFormat="1" x14ac:dyDescent="0.45">
      <c r="B306" s="221"/>
      <c r="C306" s="221"/>
      <c r="D306" s="221"/>
      <c r="E306" s="221"/>
      <c r="F306" s="221"/>
      <c r="G306" s="221"/>
      <c r="H306" s="221"/>
      <c r="I306" s="221"/>
    </row>
    <row r="307" spans="2:9" s="214" customFormat="1" x14ac:dyDescent="0.45">
      <c r="B307" s="221"/>
      <c r="C307" s="221"/>
      <c r="D307" s="221"/>
      <c r="E307" s="221"/>
      <c r="F307" s="221"/>
      <c r="G307" s="221"/>
      <c r="H307" s="221"/>
      <c r="I307" s="221"/>
    </row>
    <row r="308" spans="2:9" s="214" customFormat="1" x14ac:dyDescent="0.45">
      <c r="B308" s="221"/>
      <c r="C308" s="221"/>
      <c r="D308" s="221"/>
      <c r="E308" s="221"/>
      <c r="F308" s="221"/>
      <c r="G308" s="221"/>
      <c r="H308" s="221"/>
      <c r="I308" s="221"/>
    </row>
    <row r="309" spans="2:9" s="214" customFormat="1" x14ac:dyDescent="0.45">
      <c r="B309" s="221"/>
      <c r="C309" s="221"/>
      <c r="D309" s="221"/>
      <c r="E309" s="221"/>
      <c r="F309" s="221"/>
      <c r="G309" s="221"/>
      <c r="H309" s="221"/>
      <c r="I309" s="221"/>
    </row>
    <row r="310" spans="2:9" s="214" customFormat="1" x14ac:dyDescent="0.45">
      <c r="B310" s="221"/>
      <c r="C310" s="221"/>
      <c r="D310" s="221"/>
      <c r="E310" s="221"/>
      <c r="F310" s="221"/>
      <c r="G310" s="221"/>
      <c r="H310" s="221"/>
      <c r="I310" s="221"/>
    </row>
    <row r="311" spans="2:9" s="214" customFormat="1" x14ac:dyDescent="0.45">
      <c r="B311" s="221"/>
      <c r="C311" s="221"/>
      <c r="D311" s="221"/>
      <c r="E311" s="221"/>
      <c r="F311" s="221"/>
      <c r="G311" s="221"/>
      <c r="H311" s="221"/>
      <c r="I311" s="221"/>
    </row>
    <row r="312" spans="2:9" s="214" customFormat="1" x14ac:dyDescent="0.45">
      <c r="B312" s="221"/>
      <c r="C312" s="221"/>
      <c r="D312" s="221"/>
      <c r="E312" s="221"/>
      <c r="F312" s="221"/>
      <c r="G312" s="221"/>
      <c r="H312" s="221"/>
      <c r="I312" s="221"/>
    </row>
    <row r="313" spans="2:9" s="214" customFormat="1" x14ac:dyDescent="0.45">
      <c r="B313" s="221"/>
      <c r="C313" s="221"/>
      <c r="D313" s="221"/>
      <c r="E313" s="221"/>
      <c r="F313" s="221"/>
      <c r="G313" s="221"/>
      <c r="H313" s="221"/>
      <c r="I313" s="221"/>
    </row>
    <row r="314" spans="2:9" s="214" customFormat="1" x14ac:dyDescent="0.45">
      <c r="B314" s="221"/>
      <c r="C314" s="221"/>
      <c r="D314" s="221"/>
      <c r="E314" s="221"/>
      <c r="F314" s="221"/>
      <c r="G314" s="221"/>
      <c r="H314" s="221"/>
      <c r="I314" s="221"/>
    </row>
    <row r="315" spans="2:9" s="214" customFormat="1" x14ac:dyDescent="0.45">
      <c r="B315" s="221"/>
      <c r="C315" s="221"/>
      <c r="D315" s="221"/>
      <c r="E315" s="221"/>
      <c r="F315" s="221"/>
      <c r="G315" s="221"/>
      <c r="H315" s="221"/>
      <c r="I315" s="221"/>
    </row>
    <row r="316" spans="2:9" s="214" customFormat="1" x14ac:dyDescent="0.45">
      <c r="B316" s="221"/>
      <c r="C316" s="221"/>
      <c r="D316" s="221"/>
      <c r="E316" s="221"/>
      <c r="F316" s="221"/>
      <c r="G316" s="221"/>
      <c r="H316" s="221"/>
      <c r="I316" s="221"/>
    </row>
    <row r="317" spans="2:9" s="214" customFormat="1" x14ac:dyDescent="0.45">
      <c r="B317" s="221"/>
      <c r="C317" s="221"/>
      <c r="D317" s="221"/>
      <c r="E317" s="221"/>
      <c r="F317" s="221"/>
      <c r="G317" s="221"/>
      <c r="H317" s="221"/>
      <c r="I317" s="221"/>
    </row>
    <row r="318" spans="2:9" s="214" customFormat="1" x14ac:dyDescent="0.45">
      <c r="B318" s="221"/>
      <c r="C318" s="221"/>
      <c r="D318" s="221"/>
      <c r="E318" s="221"/>
      <c r="F318" s="221"/>
      <c r="G318" s="221"/>
      <c r="H318" s="221"/>
      <c r="I318" s="221"/>
    </row>
    <row r="319" spans="2:9" s="214" customFormat="1" x14ac:dyDescent="0.45">
      <c r="B319" s="221"/>
      <c r="C319" s="221"/>
      <c r="D319" s="221"/>
      <c r="E319" s="221"/>
      <c r="F319" s="221"/>
      <c r="G319" s="221"/>
      <c r="H319" s="221"/>
      <c r="I319" s="221"/>
    </row>
    <row r="320" spans="2:9" s="214" customFormat="1" x14ac:dyDescent="0.45">
      <c r="B320" s="221"/>
      <c r="C320" s="221"/>
      <c r="D320" s="221"/>
      <c r="E320" s="221"/>
      <c r="F320" s="221"/>
      <c r="G320" s="221"/>
      <c r="H320" s="221"/>
      <c r="I320" s="221"/>
    </row>
    <row r="321" spans="2:9" s="214" customFormat="1" x14ac:dyDescent="0.45">
      <c r="B321" s="221"/>
      <c r="C321" s="221"/>
      <c r="D321" s="221"/>
      <c r="E321" s="221"/>
      <c r="F321" s="221"/>
      <c r="G321" s="221"/>
      <c r="H321" s="221"/>
      <c r="I321" s="221"/>
    </row>
    <row r="322" spans="2:9" s="214" customFormat="1" x14ac:dyDescent="0.45">
      <c r="B322" s="221"/>
      <c r="C322" s="221"/>
      <c r="D322" s="221"/>
      <c r="E322" s="221"/>
      <c r="F322" s="221"/>
      <c r="G322" s="221"/>
      <c r="H322" s="221"/>
      <c r="I322" s="221"/>
    </row>
    <row r="323" spans="2:9" s="214" customFormat="1" x14ac:dyDescent="0.45">
      <c r="B323" s="221"/>
      <c r="C323" s="221"/>
      <c r="D323" s="221"/>
      <c r="E323" s="221"/>
      <c r="F323" s="221"/>
      <c r="G323" s="221"/>
      <c r="H323" s="221"/>
      <c r="I323" s="221"/>
    </row>
    <row r="324" spans="2:9" s="214" customFormat="1" x14ac:dyDescent="0.45">
      <c r="B324" s="221"/>
      <c r="C324" s="221"/>
      <c r="D324" s="221"/>
      <c r="E324" s="221"/>
      <c r="F324" s="221"/>
      <c r="G324" s="221"/>
      <c r="H324" s="221"/>
      <c r="I324" s="221"/>
    </row>
    <row r="325" spans="2:9" s="214" customFormat="1" x14ac:dyDescent="0.45">
      <c r="B325" s="221"/>
      <c r="C325" s="221"/>
      <c r="D325" s="221"/>
      <c r="E325" s="221"/>
      <c r="F325" s="221"/>
      <c r="G325" s="221"/>
      <c r="H325" s="221"/>
      <c r="I325" s="221"/>
    </row>
    <row r="326" spans="2:9" s="214" customFormat="1" x14ac:dyDescent="0.45">
      <c r="B326" s="221"/>
      <c r="C326" s="221"/>
      <c r="D326" s="221"/>
      <c r="E326" s="221"/>
      <c r="F326" s="221"/>
      <c r="G326" s="221"/>
      <c r="H326" s="221"/>
      <c r="I326" s="221"/>
    </row>
    <row r="327" spans="2:9" s="214" customFormat="1" x14ac:dyDescent="0.45">
      <c r="B327" s="221"/>
      <c r="C327" s="221"/>
      <c r="D327" s="221"/>
      <c r="E327" s="221"/>
      <c r="F327" s="221"/>
      <c r="G327" s="221"/>
      <c r="H327" s="221"/>
      <c r="I327" s="221"/>
    </row>
    <row r="328" spans="2:9" s="214" customFormat="1" x14ac:dyDescent="0.45">
      <c r="B328" s="221"/>
      <c r="C328" s="221"/>
      <c r="D328" s="221"/>
      <c r="E328" s="221"/>
      <c r="F328" s="221"/>
      <c r="G328" s="221"/>
      <c r="H328" s="221"/>
      <c r="I328" s="221"/>
    </row>
    <row r="329" spans="2:9" s="214" customFormat="1" x14ac:dyDescent="0.45">
      <c r="B329" s="221"/>
      <c r="C329" s="221"/>
      <c r="D329" s="221"/>
      <c r="E329" s="221"/>
      <c r="F329" s="221"/>
      <c r="G329" s="221"/>
      <c r="H329" s="221"/>
      <c r="I329" s="221"/>
    </row>
    <row r="330" spans="2:9" s="214" customFormat="1" x14ac:dyDescent="0.45">
      <c r="B330" s="221"/>
      <c r="C330" s="221"/>
      <c r="D330" s="221"/>
      <c r="E330" s="221"/>
      <c r="F330" s="221"/>
      <c r="G330" s="221"/>
      <c r="H330" s="221"/>
      <c r="I330" s="221"/>
    </row>
    <row r="331" spans="2:9" s="214" customFormat="1" x14ac:dyDescent="0.45">
      <c r="B331" s="221"/>
      <c r="C331" s="221"/>
      <c r="D331" s="221"/>
      <c r="E331" s="221"/>
      <c r="F331" s="221"/>
      <c r="G331" s="221"/>
      <c r="H331" s="221"/>
      <c r="I331" s="221"/>
    </row>
    <row r="332" spans="2:9" s="214" customFormat="1" x14ac:dyDescent="0.45">
      <c r="B332" s="221"/>
      <c r="C332" s="221"/>
      <c r="D332" s="221"/>
      <c r="E332" s="221"/>
      <c r="F332" s="221"/>
      <c r="G332" s="221"/>
      <c r="H332" s="221"/>
      <c r="I332" s="221"/>
    </row>
    <row r="333" spans="2:9" s="214" customFormat="1" x14ac:dyDescent="0.45">
      <c r="B333" s="221"/>
      <c r="C333" s="221"/>
      <c r="D333" s="221"/>
      <c r="E333" s="221"/>
      <c r="F333" s="221"/>
      <c r="G333" s="221"/>
      <c r="H333" s="221"/>
      <c r="I333" s="221"/>
    </row>
    <row r="334" spans="2:9" s="214" customFormat="1" x14ac:dyDescent="0.45">
      <c r="B334" s="221"/>
      <c r="C334" s="221"/>
      <c r="D334" s="221"/>
      <c r="E334" s="221"/>
      <c r="F334" s="221"/>
      <c r="G334" s="221"/>
      <c r="H334" s="221"/>
      <c r="I334" s="221"/>
    </row>
    <row r="335" spans="2:9" s="214" customFormat="1" x14ac:dyDescent="0.45">
      <c r="B335" s="221"/>
      <c r="C335" s="221"/>
      <c r="D335" s="221"/>
      <c r="E335" s="221"/>
      <c r="F335" s="221"/>
      <c r="G335" s="221"/>
      <c r="H335" s="221"/>
      <c r="I335" s="221"/>
    </row>
    <row r="336" spans="2:9" s="214" customFormat="1" x14ac:dyDescent="0.45">
      <c r="B336" s="221"/>
      <c r="C336" s="221"/>
      <c r="D336" s="221"/>
      <c r="E336" s="221"/>
      <c r="F336" s="221"/>
      <c r="G336" s="221"/>
      <c r="H336" s="221"/>
      <c r="I336" s="221"/>
    </row>
    <row r="337" spans="2:9" s="214" customFormat="1" x14ac:dyDescent="0.45">
      <c r="B337" s="221"/>
      <c r="C337" s="221"/>
      <c r="D337" s="221"/>
      <c r="E337" s="221"/>
      <c r="F337" s="221"/>
      <c r="G337" s="221"/>
      <c r="H337" s="221"/>
      <c r="I337" s="221"/>
    </row>
    <row r="338" spans="2:9" s="214" customFormat="1" x14ac:dyDescent="0.45">
      <c r="B338" s="221"/>
      <c r="C338" s="221"/>
      <c r="D338" s="221"/>
      <c r="E338" s="221"/>
      <c r="F338" s="221"/>
      <c r="G338" s="221"/>
      <c r="H338" s="221"/>
      <c r="I338" s="221"/>
    </row>
    <row r="339" spans="2:9" s="214" customFormat="1" x14ac:dyDescent="0.45">
      <c r="B339" s="221"/>
      <c r="C339" s="221"/>
      <c r="D339" s="221"/>
      <c r="E339" s="221"/>
      <c r="F339" s="221"/>
      <c r="G339" s="221"/>
      <c r="H339" s="221"/>
      <c r="I339" s="221"/>
    </row>
    <row r="340" spans="2:9" s="214" customFormat="1" x14ac:dyDescent="0.45">
      <c r="B340" s="221"/>
      <c r="C340" s="221"/>
      <c r="D340" s="221"/>
      <c r="E340" s="221"/>
      <c r="F340" s="221"/>
      <c r="G340" s="221"/>
      <c r="H340" s="221"/>
      <c r="I340" s="221"/>
    </row>
    <row r="341" spans="2:9" s="214" customFormat="1" x14ac:dyDescent="0.45">
      <c r="B341" s="221"/>
      <c r="C341" s="221"/>
      <c r="D341" s="221"/>
      <c r="E341" s="221"/>
      <c r="F341" s="221"/>
      <c r="G341" s="221"/>
      <c r="H341" s="221"/>
      <c r="I341" s="221"/>
    </row>
    <row r="342" spans="2:9" s="214" customFormat="1" x14ac:dyDescent="0.45">
      <c r="B342" s="221"/>
      <c r="C342" s="221"/>
      <c r="D342" s="221"/>
      <c r="E342" s="221"/>
      <c r="F342" s="221"/>
      <c r="G342" s="221"/>
      <c r="H342" s="221"/>
      <c r="I342" s="221"/>
    </row>
    <row r="343" spans="2:9" s="214" customFormat="1" x14ac:dyDescent="0.45">
      <c r="B343" s="221"/>
      <c r="C343" s="221"/>
      <c r="D343" s="221"/>
      <c r="E343" s="221"/>
      <c r="F343" s="221"/>
      <c r="G343" s="221"/>
      <c r="H343" s="221"/>
      <c r="I343" s="221"/>
    </row>
    <row r="344" spans="2:9" s="214" customFormat="1" x14ac:dyDescent="0.45">
      <c r="B344" s="221"/>
      <c r="C344" s="221"/>
      <c r="D344" s="221"/>
      <c r="E344" s="221"/>
      <c r="F344" s="221"/>
      <c r="G344" s="221"/>
      <c r="H344" s="221"/>
      <c r="I344" s="221"/>
    </row>
    <row r="345" spans="2:9" s="214" customFormat="1" x14ac:dyDescent="0.45">
      <c r="B345" s="221"/>
      <c r="C345" s="221"/>
      <c r="D345" s="221"/>
      <c r="E345" s="221"/>
      <c r="F345" s="221"/>
      <c r="G345" s="221"/>
      <c r="H345" s="221"/>
      <c r="I345" s="221"/>
    </row>
    <row r="346" spans="2:9" s="214" customFormat="1" x14ac:dyDescent="0.45">
      <c r="B346" s="221"/>
      <c r="C346" s="221"/>
      <c r="D346" s="221"/>
      <c r="E346" s="221"/>
      <c r="F346" s="221"/>
      <c r="G346" s="221"/>
      <c r="H346" s="221"/>
      <c r="I346" s="221"/>
    </row>
    <row r="347" spans="2:9" s="214" customFormat="1" x14ac:dyDescent="0.45">
      <c r="B347" s="221"/>
      <c r="C347" s="221"/>
      <c r="D347" s="221"/>
      <c r="E347" s="221"/>
      <c r="F347" s="221"/>
      <c r="G347" s="221"/>
      <c r="H347" s="221"/>
      <c r="I347" s="221"/>
    </row>
    <row r="348" spans="2:9" s="214" customFormat="1" x14ac:dyDescent="0.45">
      <c r="B348" s="221"/>
      <c r="C348" s="221"/>
      <c r="D348" s="221"/>
      <c r="E348" s="221"/>
      <c r="F348" s="221"/>
      <c r="G348" s="221"/>
      <c r="H348" s="221"/>
      <c r="I348" s="221"/>
    </row>
    <row r="349" spans="2:9" s="214" customFormat="1" x14ac:dyDescent="0.45">
      <c r="B349" s="221"/>
      <c r="C349" s="221"/>
      <c r="D349" s="221"/>
      <c r="E349" s="221"/>
      <c r="F349" s="221"/>
      <c r="G349" s="221"/>
      <c r="H349" s="221"/>
      <c r="I349" s="221"/>
    </row>
    <row r="350" spans="2:9" s="214" customFormat="1" x14ac:dyDescent="0.45">
      <c r="B350" s="221"/>
      <c r="C350" s="221"/>
      <c r="D350" s="221"/>
      <c r="E350" s="221"/>
      <c r="F350" s="221"/>
      <c r="G350" s="221"/>
      <c r="H350" s="221"/>
      <c r="I350" s="221"/>
    </row>
    <row r="351" spans="2:9" s="214" customFormat="1" x14ac:dyDescent="0.45">
      <c r="B351" s="221"/>
      <c r="C351" s="221"/>
      <c r="D351" s="221"/>
      <c r="E351" s="221"/>
      <c r="F351" s="221"/>
      <c r="G351" s="221"/>
      <c r="H351" s="221"/>
      <c r="I351" s="221"/>
    </row>
    <row r="352" spans="2:9" s="214" customFormat="1" x14ac:dyDescent="0.45">
      <c r="B352" s="221"/>
      <c r="C352" s="221"/>
      <c r="D352" s="221"/>
      <c r="E352" s="221"/>
      <c r="F352" s="221"/>
      <c r="G352" s="221"/>
      <c r="H352" s="221"/>
      <c r="I352" s="221"/>
    </row>
    <row r="353" spans="2:9" s="214" customFormat="1" x14ac:dyDescent="0.45">
      <c r="B353" s="221"/>
      <c r="C353" s="221"/>
      <c r="D353" s="221"/>
      <c r="E353" s="221"/>
      <c r="F353" s="221"/>
      <c r="G353" s="221"/>
      <c r="H353" s="221"/>
      <c r="I353" s="221"/>
    </row>
    <row r="354" spans="2:9" s="214" customFormat="1" x14ac:dyDescent="0.45">
      <c r="B354" s="221"/>
      <c r="C354" s="221"/>
      <c r="D354" s="221"/>
      <c r="E354" s="221"/>
      <c r="F354" s="221"/>
      <c r="G354" s="221"/>
      <c r="H354" s="221"/>
      <c r="I354" s="221"/>
    </row>
    <row r="355" spans="2:9" s="214" customFormat="1" x14ac:dyDescent="0.45">
      <c r="B355" s="221"/>
      <c r="C355" s="221"/>
      <c r="D355" s="221"/>
      <c r="E355" s="221"/>
      <c r="F355" s="221"/>
      <c r="G355" s="221"/>
      <c r="H355" s="221"/>
      <c r="I355" s="221"/>
    </row>
    <row r="356" spans="2:9" s="214" customFormat="1" x14ac:dyDescent="0.45">
      <c r="B356" s="221"/>
      <c r="C356" s="221"/>
      <c r="D356" s="221"/>
      <c r="E356" s="221"/>
      <c r="F356" s="221"/>
      <c r="G356" s="221"/>
      <c r="H356" s="221"/>
      <c r="I356" s="221"/>
    </row>
    <row r="357" spans="2:9" s="214" customFormat="1" x14ac:dyDescent="0.45">
      <c r="B357" s="221"/>
      <c r="C357" s="221"/>
      <c r="D357" s="221"/>
      <c r="E357" s="221"/>
      <c r="F357" s="221"/>
      <c r="G357" s="221"/>
      <c r="H357" s="221"/>
      <c r="I357" s="221"/>
    </row>
    <row r="358" spans="2:9" s="214" customFormat="1" x14ac:dyDescent="0.45">
      <c r="B358" s="221"/>
      <c r="C358" s="221"/>
      <c r="D358" s="221"/>
      <c r="E358" s="221"/>
      <c r="F358" s="221"/>
      <c r="G358" s="221"/>
      <c r="H358" s="221"/>
      <c r="I358" s="221"/>
    </row>
    <row r="359" spans="2:9" s="214" customFormat="1" x14ac:dyDescent="0.45">
      <c r="B359" s="221"/>
      <c r="C359" s="221"/>
      <c r="D359" s="221"/>
      <c r="E359" s="221"/>
      <c r="F359" s="221"/>
      <c r="G359" s="221"/>
      <c r="H359" s="221"/>
      <c r="I359" s="221"/>
    </row>
    <row r="360" spans="2:9" s="214" customFormat="1" x14ac:dyDescent="0.45">
      <c r="B360" s="221"/>
      <c r="C360" s="221"/>
      <c r="D360" s="221"/>
      <c r="E360" s="221"/>
      <c r="F360" s="221"/>
      <c r="G360" s="221"/>
      <c r="H360" s="221"/>
      <c r="I360" s="221"/>
    </row>
    <row r="361" spans="2:9" s="214" customFormat="1" x14ac:dyDescent="0.45">
      <c r="B361" s="221"/>
      <c r="C361" s="221"/>
      <c r="D361" s="221"/>
      <c r="E361" s="221"/>
      <c r="F361" s="221"/>
      <c r="G361" s="221"/>
      <c r="H361" s="221"/>
      <c r="I361" s="221"/>
    </row>
    <row r="362" spans="2:9" s="214" customFormat="1" x14ac:dyDescent="0.45">
      <c r="B362" s="221"/>
      <c r="C362" s="221"/>
      <c r="D362" s="221"/>
      <c r="E362" s="221"/>
      <c r="F362" s="221"/>
      <c r="G362" s="221"/>
      <c r="H362" s="221"/>
      <c r="I362" s="221"/>
    </row>
    <row r="363" spans="2:9" s="214" customFormat="1" x14ac:dyDescent="0.45">
      <c r="B363" s="221"/>
      <c r="C363" s="221"/>
      <c r="D363" s="221"/>
      <c r="E363" s="221"/>
      <c r="F363" s="221"/>
      <c r="G363" s="221"/>
      <c r="H363" s="221"/>
      <c r="I363" s="221"/>
    </row>
    <row r="364" spans="2:9" s="214" customFormat="1" x14ac:dyDescent="0.45">
      <c r="B364" s="221"/>
      <c r="C364" s="221"/>
      <c r="D364" s="221"/>
      <c r="E364" s="221"/>
      <c r="F364" s="221"/>
      <c r="G364" s="221"/>
      <c r="H364" s="221"/>
      <c r="I364" s="221"/>
    </row>
    <row r="365" spans="2:9" s="214" customFormat="1" x14ac:dyDescent="0.45">
      <c r="B365" s="221"/>
      <c r="C365" s="221"/>
      <c r="D365" s="221"/>
      <c r="E365" s="221"/>
      <c r="F365" s="221"/>
      <c r="G365" s="221"/>
      <c r="H365" s="221"/>
      <c r="I365" s="221"/>
    </row>
    <row r="366" spans="2:9" s="214" customFormat="1" x14ac:dyDescent="0.45">
      <c r="B366" s="221"/>
      <c r="C366" s="221"/>
      <c r="D366" s="221"/>
      <c r="E366" s="221"/>
      <c r="F366" s="221"/>
      <c r="G366" s="221"/>
      <c r="H366" s="221"/>
      <c r="I366" s="221"/>
    </row>
    <row r="367" spans="2:9" s="214" customFormat="1" x14ac:dyDescent="0.45">
      <c r="B367" s="221"/>
      <c r="C367" s="221"/>
      <c r="D367" s="221"/>
      <c r="E367" s="221"/>
      <c r="F367" s="221"/>
      <c r="G367" s="221"/>
      <c r="H367" s="221"/>
      <c r="I367" s="221"/>
    </row>
    <row r="368" spans="2:9" s="214" customFormat="1" x14ac:dyDescent="0.45">
      <c r="B368" s="221"/>
      <c r="C368" s="221"/>
      <c r="D368" s="221"/>
      <c r="E368" s="221"/>
      <c r="F368" s="221"/>
      <c r="G368" s="221"/>
      <c r="H368" s="221"/>
      <c r="I368" s="221"/>
    </row>
    <row r="369" spans="2:9" s="214" customFormat="1" x14ac:dyDescent="0.45">
      <c r="B369" s="221"/>
      <c r="C369" s="221"/>
      <c r="D369" s="221"/>
      <c r="E369" s="221"/>
      <c r="F369" s="221"/>
      <c r="G369" s="221"/>
      <c r="H369" s="221"/>
      <c r="I369" s="221"/>
    </row>
    <row r="370" spans="2:9" s="214" customFormat="1" x14ac:dyDescent="0.45">
      <c r="B370" s="221"/>
      <c r="C370" s="221"/>
      <c r="D370" s="221"/>
      <c r="E370" s="221"/>
      <c r="F370" s="221"/>
      <c r="G370" s="221"/>
      <c r="H370" s="221"/>
      <c r="I370" s="221"/>
    </row>
    <row r="371" spans="2:9" s="214" customFormat="1" x14ac:dyDescent="0.45">
      <c r="B371" s="221"/>
      <c r="C371" s="221"/>
      <c r="D371" s="221"/>
      <c r="E371" s="221"/>
      <c r="F371" s="221"/>
      <c r="G371" s="221"/>
      <c r="H371" s="221"/>
      <c r="I371" s="221"/>
    </row>
    <row r="372" spans="2:9" s="214" customFormat="1" x14ac:dyDescent="0.45">
      <c r="B372" s="221"/>
      <c r="C372" s="221"/>
      <c r="D372" s="221"/>
      <c r="E372" s="221"/>
      <c r="F372" s="221"/>
      <c r="G372" s="221"/>
      <c r="H372" s="221"/>
      <c r="I372" s="221"/>
    </row>
    <row r="373" spans="2:9" s="214" customFormat="1" x14ac:dyDescent="0.45">
      <c r="B373" s="221"/>
      <c r="C373" s="221"/>
      <c r="D373" s="221"/>
      <c r="E373" s="221"/>
      <c r="F373" s="221"/>
      <c r="G373" s="221"/>
      <c r="H373" s="221"/>
      <c r="I373" s="221"/>
    </row>
    <row r="374" spans="2:9" s="214" customFormat="1" x14ac:dyDescent="0.45">
      <c r="B374" s="221"/>
      <c r="C374" s="221"/>
      <c r="D374" s="221"/>
      <c r="E374" s="221"/>
      <c r="F374" s="221"/>
      <c r="G374" s="221"/>
      <c r="H374" s="221"/>
      <c r="I374" s="221"/>
    </row>
    <row r="375" spans="2:9" s="214" customFormat="1" x14ac:dyDescent="0.45">
      <c r="B375" s="221"/>
      <c r="C375" s="221"/>
      <c r="D375" s="221"/>
      <c r="E375" s="221"/>
      <c r="F375" s="221"/>
      <c r="G375" s="221"/>
      <c r="H375" s="221"/>
      <c r="I375" s="221"/>
    </row>
    <row r="376" spans="2:9" s="214" customFormat="1" x14ac:dyDescent="0.45">
      <c r="B376" s="221"/>
      <c r="C376" s="221"/>
      <c r="D376" s="221"/>
      <c r="E376" s="221"/>
      <c r="F376" s="221"/>
      <c r="G376" s="221"/>
      <c r="H376" s="221"/>
      <c r="I376" s="221"/>
    </row>
    <row r="377" spans="2:9" s="214" customFormat="1" x14ac:dyDescent="0.45">
      <c r="B377" s="221"/>
      <c r="C377" s="221"/>
      <c r="D377" s="221"/>
      <c r="E377" s="221"/>
      <c r="F377" s="221"/>
      <c r="G377" s="221"/>
      <c r="H377" s="221"/>
      <c r="I377" s="221"/>
    </row>
    <row r="378" spans="2:9" s="214" customFormat="1" x14ac:dyDescent="0.45">
      <c r="B378" s="221"/>
      <c r="C378" s="221"/>
      <c r="D378" s="221"/>
      <c r="E378" s="221"/>
      <c r="F378" s="221"/>
      <c r="G378" s="221"/>
      <c r="H378" s="221"/>
      <c r="I378" s="221"/>
    </row>
    <row r="379" spans="2:9" s="214" customFormat="1" x14ac:dyDescent="0.45">
      <c r="B379" s="221"/>
      <c r="C379" s="221"/>
      <c r="D379" s="221"/>
      <c r="E379" s="221"/>
      <c r="F379" s="221"/>
      <c r="G379" s="221"/>
      <c r="H379" s="221"/>
      <c r="I379" s="221"/>
    </row>
    <row r="380" spans="2:9" s="214" customFormat="1" x14ac:dyDescent="0.45">
      <c r="B380" s="221"/>
      <c r="C380" s="221"/>
      <c r="D380" s="221"/>
      <c r="E380" s="221"/>
      <c r="F380" s="221"/>
      <c r="G380" s="221"/>
      <c r="H380" s="221"/>
      <c r="I380" s="221"/>
    </row>
    <row r="381" spans="2:9" s="214" customFormat="1" x14ac:dyDescent="0.45">
      <c r="B381" s="221"/>
      <c r="C381" s="221"/>
      <c r="D381" s="221"/>
      <c r="E381" s="221"/>
      <c r="F381" s="221"/>
      <c r="G381" s="221"/>
      <c r="H381" s="221"/>
      <c r="I381" s="221"/>
    </row>
    <row r="382" spans="2:9" s="214" customFormat="1" x14ac:dyDescent="0.45">
      <c r="B382" s="221"/>
      <c r="C382" s="221"/>
      <c r="D382" s="221"/>
      <c r="E382" s="221"/>
      <c r="F382" s="221"/>
      <c r="G382" s="221"/>
      <c r="H382" s="221"/>
      <c r="I382" s="221"/>
    </row>
    <row r="383" spans="2:9" s="214" customFormat="1" x14ac:dyDescent="0.45">
      <c r="B383" s="221"/>
      <c r="C383" s="221"/>
      <c r="D383" s="221"/>
      <c r="E383" s="221"/>
      <c r="F383" s="221"/>
      <c r="G383" s="221"/>
      <c r="H383" s="221"/>
      <c r="I383" s="221"/>
    </row>
    <row r="384" spans="2:9" s="214" customFormat="1" x14ac:dyDescent="0.45">
      <c r="B384" s="221"/>
      <c r="C384" s="221"/>
      <c r="D384" s="221"/>
      <c r="E384" s="221"/>
      <c r="F384" s="221"/>
      <c r="G384" s="221"/>
      <c r="H384" s="221"/>
      <c r="I384" s="221"/>
    </row>
    <row r="385" spans="2:9" s="214" customFormat="1" x14ac:dyDescent="0.45">
      <c r="B385" s="221"/>
      <c r="C385" s="221"/>
      <c r="D385" s="221"/>
      <c r="E385" s="221"/>
      <c r="F385" s="221"/>
      <c r="G385" s="221"/>
      <c r="H385" s="221"/>
      <c r="I385" s="221"/>
    </row>
    <row r="386" spans="2:9" s="214" customFormat="1" x14ac:dyDescent="0.45">
      <c r="B386" s="221"/>
      <c r="C386" s="221"/>
      <c r="D386" s="221"/>
      <c r="E386" s="221"/>
      <c r="F386" s="221"/>
      <c r="G386" s="221"/>
      <c r="H386" s="221"/>
      <c r="I386" s="221"/>
    </row>
    <row r="387" spans="2:9" s="214" customFormat="1" x14ac:dyDescent="0.45">
      <c r="B387" s="221"/>
      <c r="C387" s="221"/>
      <c r="D387" s="221"/>
      <c r="E387" s="221"/>
      <c r="F387" s="221"/>
      <c r="G387" s="221"/>
      <c r="H387" s="221"/>
      <c r="I387" s="221"/>
    </row>
    <row r="388" spans="2:9" s="214" customFormat="1" x14ac:dyDescent="0.45">
      <c r="B388" s="221"/>
      <c r="C388" s="221"/>
      <c r="D388" s="221"/>
      <c r="E388" s="221"/>
      <c r="F388" s="221"/>
      <c r="G388" s="221"/>
      <c r="H388" s="221"/>
      <c r="I388" s="221"/>
    </row>
    <row r="389" spans="2:9" s="214" customFormat="1" x14ac:dyDescent="0.45">
      <c r="B389" s="221"/>
      <c r="C389" s="221"/>
      <c r="D389" s="221"/>
      <c r="E389" s="221"/>
      <c r="F389" s="221"/>
      <c r="G389" s="221"/>
      <c r="H389" s="221"/>
      <c r="I389" s="221"/>
    </row>
    <row r="390" spans="2:9" s="214" customFormat="1" x14ac:dyDescent="0.45">
      <c r="B390" s="221"/>
      <c r="C390" s="221"/>
      <c r="D390" s="221"/>
      <c r="E390" s="221"/>
      <c r="F390" s="221"/>
      <c r="G390" s="221"/>
      <c r="H390" s="221"/>
      <c r="I390" s="221"/>
    </row>
    <row r="391" spans="2:9" s="214" customFormat="1" x14ac:dyDescent="0.45">
      <c r="B391" s="221"/>
      <c r="C391" s="221"/>
      <c r="D391" s="221"/>
      <c r="E391" s="221"/>
      <c r="F391" s="221"/>
      <c r="G391" s="221"/>
      <c r="H391" s="221"/>
      <c r="I391" s="221"/>
    </row>
    <row r="392" spans="2:9" s="214" customFormat="1" x14ac:dyDescent="0.45">
      <c r="B392" s="221"/>
      <c r="C392" s="221"/>
      <c r="D392" s="221"/>
      <c r="E392" s="221"/>
      <c r="F392" s="221"/>
      <c r="G392" s="221"/>
      <c r="H392" s="221"/>
      <c r="I392" s="221"/>
    </row>
    <row r="393" spans="2:9" s="214" customFormat="1" x14ac:dyDescent="0.45">
      <c r="B393" s="221"/>
      <c r="C393" s="221"/>
      <c r="D393" s="221"/>
      <c r="E393" s="221"/>
      <c r="F393" s="221"/>
      <c r="G393" s="221"/>
      <c r="H393" s="221"/>
      <c r="I393" s="221"/>
    </row>
    <row r="394" spans="2:9" s="214" customFormat="1" x14ac:dyDescent="0.45">
      <c r="B394" s="221"/>
      <c r="C394" s="221"/>
      <c r="D394" s="221"/>
      <c r="E394" s="221"/>
      <c r="F394" s="221"/>
      <c r="G394" s="221"/>
      <c r="H394" s="221"/>
      <c r="I394" s="221"/>
    </row>
    <row r="395" spans="2:9" s="214" customFormat="1" x14ac:dyDescent="0.45">
      <c r="B395" s="221"/>
      <c r="C395" s="221"/>
      <c r="D395" s="221"/>
      <c r="E395" s="221"/>
      <c r="F395" s="221"/>
      <c r="G395" s="221"/>
      <c r="H395" s="221"/>
      <c r="I395" s="221"/>
    </row>
    <row r="396" spans="2:9" s="214" customFormat="1" x14ac:dyDescent="0.45">
      <c r="B396" s="221"/>
      <c r="C396" s="221"/>
      <c r="D396" s="221"/>
      <c r="E396" s="221"/>
      <c r="F396" s="221"/>
      <c r="G396" s="221"/>
      <c r="H396" s="221"/>
      <c r="I396" s="221"/>
    </row>
    <row r="397" spans="2:9" s="214" customFormat="1" x14ac:dyDescent="0.45">
      <c r="B397" s="221"/>
      <c r="C397" s="221"/>
      <c r="D397" s="221"/>
      <c r="E397" s="221"/>
      <c r="F397" s="221"/>
      <c r="G397" s="221"/>
      <c r="H397" s="221"/>
      <c r="I397" s="221"/>
    </row>
    <row r="398" spans="2:9" s="214" customFormat="1" x14ac:dyDescent="0.45">
      <c r="B398" s="221"/>
      <c r="C398" s="221"/>
      <c r="D398" s="221"/>
      <c r="E398" s="221"/>
      <c r="F398" s="221"/>
      <c r="G398" s="221"/>
      <c r="H398" s="221"/>
      <c r="I398" s="221"/>
    </row>
    <row r="399" spans="2:9" s="214" customFormat="1" x14ac:dyDescent="0.45">
      <c r="B399" s="221"/>
      <c r="C399" s="221"/>
      <c r="D399" s="221"/>
      <c r="E399" s="221"/>
      <c r="F399" s="221"/>
      <c r="G399" s="221"/>
      <c r="H399" s="221"/>
      <c r="I399" s="221"/>
    </row>
    <row r="400" spans="2:9" s="214" customFormat="1" x14ac:dyDescent="0.45">
      <c r="B400" s="221"/>
      <c r="C400" s="221"/>
      <c r="D400" s="221"/>
      <c r="E400" s="221"/>
      <c r="F400" s="221"/>
      <c r="G400" s="221"/>
      <c r="H400" s="221"/>
      <c r="I400" s="221"/>
    </row>
    <row r="401" spans="2:9" s="214" customFormat="1" x14ac:dyDescent="0.45">
      <c r="B401" s="221"/>
      <c r="C401" s="221"/>
      <c r="D401" s="221"/>
      <c r="E401" s="221"/>
      <c r="F401" s="221"/>
      <c r="G401" s="221"/>
      <c r="H401" s="221"/>
      <c r="I401" s="221"/>
    </row>
    <row r="402" spans="2:9" s="214" customFormat="1" x14ac:dyDescent="0.45">
      <c r="B402" s="221"/>
      <c r="C402" s="221"/>
      <c r="D402" s="221"/>
      <c r="E402" s="221"/>
      <c r="F402" s="221"/>
      <c r="G402" s="221"/>
      <c r="H402" s="221"/>
      <c r="I402" s="221"/>
    </row>
    <row r="403" spans="2:9" s="214" customFormat="1" x14ac:dyDescent="0.45">
      <c r="B403" s="221"/>
      <c r="C403" s="221"/>
      <c r="D403" s="221"/>
      <c r="E403" s="221"/>
      <c r="F403" s="221"/>
      <c r="G403" s="221"/>
      <c r="H403" s="221"/>
      <c r="I403" s="221"/>
    </row>
    <row r="404" spans="2:9" s="214" customFormat="1" x14ac:dyDescent="0.45">
      <c r="B404" s="221"/>
      <c r="C404" s="221"/>
      <c r="D404" s="221"/>
      <c r="E404" s="221"/>
      <c r="F404" s="221"/>
      <c r="G404" s="221"/>
      <c r="H404" s="221"/>
      <c r="I404" s="221"/>
    </row>
    <row r="405" spans="2:9" s="214" customFormat="1" x14ac:dyDescent="0.45">
      <c r="B405" s="221"/>
      <c r="C405" s="221"/>
      <c r="D405" s="221"/>
      <c r="E405" s="221"/>
      <c r="F405" s="221"/>
      <c r="G405" s="221"/>
      <c r="H405" s="221"/>
      <c r="I405" s="221"/>
    </row>
    <row r="406" spans="2:9" s="214" customFormat="1" x14ac:dyDescent="0.45">
      <c r="B406" s="221"/>
      <c r="C406" s="221"/>
      <c r="D406" s="221"/>
      <c r="E406" s="221"/>
      <c r="F406" s="221"/>
      <c r="G406" s="221"/>
      <c r="H406" s="221"/>
      <c r="I406" s="221"/>
    </row>
    <row r="407" spans="2:9" s="214" customFormat="1" x14ac:dyDescent="0.45">
      <c r="B407" s="221"/>
      <c r="C407" s="221"/>
      <c r="D407" s="221"/>
      <c r="E407" s="221"/>
      <c r="F407" s="221"/>
      <c r="G407" s="221"/>
      <c r="H407" s="221"/>
      <c r="I407" s="221"/>
    </row>
    <row r="408" spans="2:9" s="214" customFormat="1" x14ac:dyDescent="0.45">
      <c r="B408" s="221"/>
      <c r="C408" s="221"/>
      <c r="D408" s="221"/>
      <c r="E408" s="221"/>
      <c r="F408" s="221"/>
      <c r="G408" s="221"/>
      <c r="H408" s="221"/>
      <c r="I408" s="221"/>
    </row>
    <row r="409" spans="2:9" s="214" customFormat="1" x14ac:dyDescent="0.45">
      <c r="B409" s="221"/>
      <c r="C409" s="221"/>
      <c r="D409" s="221"/>
      <c r="E409" s="221"/>
      <c r="F409" s="221"/>
      <c r="G409" s="221"/>
      <c r="H409" s="221"/>
      <c r="I409" s="221"/>
    </row>
    <row r="410" spans="2:9" s="214" customFormat="1" x14ac:dyDescent="0.45">
      <c r="B410" s="221"/>
      <c r="C410" s="221"/>
      <c r="D410" s="221"/>
      <c r="E410" s="221"/>
      <c r="F410" s="221"/>
      <c r="G410" s="221"/>
      <c r="H410" s="221"/>
      <c r="I410" s="221"/>
    </row>
    <row r="411" spans="2:9" s="214" customFormat="1" x14ac:dyDescent="0.45">
      <c r="B411" s="221"/>
      <c r="C411" s="221"/>
      <c r="D411" s="221"/>
      <c r="E411" s="221"/>
      <c r="F411" s="221"/>
      <c r="G411" s="221"/>
      <c r="H411" s="221"/>
      <c r="I411" s="221"/>
    </row>
    <row r="412" spans="2:9" s="214" customFormat="1" x14ac:dyDescent="0.45">
      <c r="B412" s="221"/>
      <c r="C412" s="221"/>
      <c r="D412" s="221"/>
      <c r="E412" s="221"/>
      <c r="F412" s="221"/>
      <c r="G412" s="221"/>
      <c r="H412" s="221"/>
      <c r="I412" s="221"/>
    </row>
    <row r="413" spans="2:9" s="214" customFormat="1" x14ac:dyDescent="0.45">
      <c r="B413" s="221"/>
      <c r="C413" s="221"/>
      <c r="D413" s="221"/>
      <c r="E413" s="221"/>
      <c r="F413" s="221"/>
      <c r="G413" s="221"/>
      <c r="H413" s="221"/>
      <c r="I413" s="221"/>
    </row>
    <row r="414" spans="2:9" s="214" customFormat="1" x14ac:dyDescent="0.45">
      <c r="B414" s="221"/>
      <c r="C414" s="221"/>
      <c r="D414" s="221"/>
      <c r="E414" s="221"/>
      <c r="F414" s="221"/>
      <c r="G414" s="221"/>
      <c r="H414" s="221"/>
      <c r="I414" s="221"/>
    </row>
    <row r="415" spans="2:9" s="214" customFormat="1" x14ac:dyDescent="0.45">
      <c r="B415" s="221"/>
      <c r="C415" s="221"/>
      <c r="D415" s="221"/>
      <c r="E415" s="221"/>
      <c r="F415" s="221"/>
      <c r="G415" s="221"/>
      <c r="H415" s="221"/>
      <c r="I415" s="221"/>
    </row>
    <row r="705" spans="2:9" ht="14.25" x14ac:dyDescent="0.2">
      <c r="B705" s="179"/>
      <c r="C705" s="179"/>
      <c r="D705" s="179"/>
      <c r="E705" s="179"/>
      <c r="F705" s="179"/>
      <c r="G705" s="179"/>
      <c r="H705" s="222"/>
      <c r="I705" s="222"/>
    </row>
    <row r="706" spans="2:9" x14ac:dyDescent="0.45">
      <c r="B706" s="180" t="s">
        <v>109</v>
      </c>
      <c r="C706" s="180"/>
      <c r="D706" s="180"/>
      <c r="E706" s="180"/>
      <c r="F706" s="180"/>
      <c r="G706" s="180"/>
      <c r="H706" s="223"/>
      <c r="I706" s="223"/>
    </row>
    <row r="707" spans="2:9" x14ac:dyDescent="0.45">
      <c r="B707" s="180" t="s">
        <v>103</v>
      </c>
      <c r="C707" s="180"/>
      <c r="D707" s="180"/>
      <c r="E707" s="180"/>
      <c r="F707" s="180"/>
      <c r="G707" s="180"/>
      <c r="H707" s="223"/>
      <c r="I707" s="223"/>
    </row>
    <row r="708" spans="2:9" x14ac:dyDescent="0.45">
      <c r="B708" s="180" t="s">
        <v>22</v>
      </c>
      <c r="C708" s="180"/>
      <c r="D708" s="180"/>
      <c r="E708" s="180"/>
      <c r="F708" s="180"/>
      <c r="G708" s="180"/>
      <c r="H708" s="223"/>
      <c r="I708" s="223"/>
    </row>
    <row r="709" spans="2:9" x14ac:dyDescent="0.45">
      <c r="B709" s="180" t="s">
        <v>122</v>
      </c>
      <c r="C709" s="180"/>
      <c r="D709" s="180"/>
      <c r="E709" s="180"/>
      <c r="F709" s="180"/>
      <c r="G709" s="180"/>
      <c r="H709" s="223"/>
      <c r="I709" s="223"/>
    </row>
    <row r="710" spans="2:9" x14ac:dyDescent="0.45">
      <c r="B710" s="180" t="s">
        <v>104</v>
      </c>
      <c r="C710" s="180"/>
      <c r="D710" s="180"/>
      <c r="E710" s="180"/>
      <c r="F710" s="180"/>
      <c r="G710" s="180"/>
      <c r="H710" s="223"/>
      <c r="I710" s="223"/>
    </row>
    <row r="711" spans="2:9" x14ac:dyDescent="0.45">
      <c r="B711" s="180" t="s">
        <v>115</v>
      </c>
      <c r="C711" s="180"/>
      <c r="D711" s="180"/>
      <c r="E711" s="180"/>
      <c r="F711" s="180"/>
      <c r="G711" s="180"/>
      <c r="H711" s="223"/>
      <c r="I711" s="223"/>
    </row>
    <row r="712" spans="2:9" x14ac:dyDescent="0.45">
      <c r="B712" s="180" t="s">
        <v>121</v>
      </c>
      <c r="C712" s="180"/>
      <c r="D712" s="180"/>
      <c r="E712" s="180"/>
      <c r="F712" s="180"/>
      <c r="G712" s="180"/>
      <c r="H712" s="223"/>
      <c r="I712" s="223"/>
    </row>
    <row r="713" spans="2:9" x14ac:dyDescent="0.45">
      <c r="B713" s="180" t="s">
        <v>117</v>
      </c>
      <c r="C713" s="180"/>
      <c r="D713" s="180"/>
      <c r="E713" s="180"/>
      <c r="F713" s="180"/>
      <c r="G713" s="180"/>
      <c r="H713" s="223"/>
      <c r="I713" s="223"/>
    </row>
    <row r="714" spans="2:9" x14ac:dyDescent="0.45">
      <c r="B714" s="180" t="s">
        <v>124</v>
      </c>
      <c r="C714" s="180"/>
      <c r="D714" s="180"/>
      <c r="E714" s="180"/>
      <c r="F714" s="180"/>
      <c r="G714" s="180"/>
      <c r="H714" s="223"/>
      <c r="I714" s="223"/>
    </row>
    <row r="715" spans="2:9" x14ac:dyDescent="0.45">
      <c r="B715" s="180" t="s">
        <v>111</v>
      </c>
      <c r="C715" s="180"/>
      <c r="D715" s="180"/>
      <c r="E715" s="180"/>
      <c r="F715" s="180"/>
      <c r="G715" s="180"/>
      <c r="H715" s="223"/>
      <c r="I715" s="223"/>
    </row>
    <row r="716" spans="2:9" x14ac:dyDescent="0.45">
      <c r="B716" s="180" t="s">
        <v>110</v>
      </c>
      <c r="C716" s="180"/>
      <c r="D716" s="180"/>
      <c r="E716" s="180"/>
      <c r="F716" s="180"/>
      <c r="G716" s="180"/>
      <c r="H716" s="223"/>
      <c r="I716" s="223"/>
    </row>
    <row r="717" spans="2:9" x14ac:dyDescent="0.45">
      <c r="B717" s="180" t="s">
        <v>127</v>
      </c>
      <c r="C717" s="180"/>
      <c r="D717" s="180"/>
      <c r="E717" s="180"/>
      <c r="F717" s="180"/>
      <c r="G717" s="180"/>
      <c r="H717" s="223"/>
      <c r="I717" s="223"/>
    </row>
    <row r="718" spans="2:9" x14ac:dyDescent="0.45">
      <c r="B718" s="180" t="s">
        <v>126</v>
      </c>
      <c r="C718" s="180"/>
      <c r="D718" s="180"/>
      <c r="E718" s="180"/>
      <c r="F718" s="180"/>
      <c r="G718" s="180"/>
      <c r="H718" s="223"/>
      <c r="I718" s="223"/>
    </row>
    <row r="719" spans="2:9" x14ac:dyDescent="0.45">
      <c r="B719" s="180" t="s">
        <v>75</v>
      </c>
      <c r="C719" s="180"/>
      <c r="D719" s="180"/>
      <c r="E719" s="180"/>
      <c r="F719" s="180"/>
      <c r="G719" s="180"/>
      <c r="H719" s="223"/>
      <c r="I719" s="223"/>
    </row>
    <row r="720" spans="2:9" x14ac:dyDescent="0.45">
      <c r="B720" s="180" t="s">
        <v>76</v>
      </c>
      <c r="C720" s="180"/>
      <c r="D720" s="180"/>
      <c r="E720" s="180"/>
      <c r="F720" s="180"/>
      <c r="G720" s="180"/>
      <c r="H720" s="223"/>
      <c r="I720" s="223"/>
    </row>
    <row r="721" spans="2:9" x14ac:dyDescent="0.45">
      <c r="B721" s="180" t="s">
        <v>63</v>
      </c>
      <c r="C721" s="180"/>
      <c r="D721" s="180"/>
      <c r="E721" s="180"/>
      <c r="F721" s="180"/>
      <c r="G721" s="180"/>
      <c r="H721" s="223"/>
      <c r="I721" s="223"/>
    </row>
    <row r="722" spans="2:9" x14ac:dyDescent="0.45">
      <c r="B722" s="180" t="s">
        <v>64</v>
      </c>
      <c r="C722" s="180"/>
      <c r="D722" s="180"/>
      <c r="E722" s="180"/>
      <c r="F722" s="180"/>
      <c r="G722" s="180"/>
      <c r="H722" s="223"/>
      <c r="I722" s="223"/>
    </row>
    <row r="723" spans="2:9" x14ac:dyDescent="0.45">
      <c r="B723" s="181"/>
      <c r="C723" s="181"/>
      <c r="D723" s="181"/>
      <c r="E723" s="181"/>
      <c r="F723" s="181"/>
      <c r="G723" s="181"/>
      <c r="H723" s="223"/>
      <c r="I723" s="223"/>
    </row>
  </sheetData>
  <sheetProtection algorithmName="SHA-512" hashValue="FRffjrtf7e4y4jZ7qSIprVFflhkwpyNIS6JkbKQ4M+G7M5xefGeICOHbpL2gC4h1eFFHprkzvSb+UYo2SEcKJw==" saltValue="lMw2ztBHPh8hYZBkHceqWg==" spinCount="100000" sheet="1" formatCells="0" formatColumns="0" formatRows="0" insertColumns="0" insertRows="0" insertHyperlinks="0" deleteColumns="0" deleteRows="0" sort="0" autoFilter="0" pivotTables="0"/>
  <mergeCells count="29">
    <mergeCell ref="B25:E25"/>
    <mergeCell ref="B4:C4"/>
    <mergeCell ref="B6:C6"/>
    <mergeCell ref="F12:F13"/>
    <mergeCell ref="B23:E23"/>
    <mergeCell ref="B8:C9"/>
    <mergeCell ref="E6:F6"/>
    <mergeCell ref="E8:F8"/>
    <mergeCell ref="B1:G1"/>
    <mergeCell ref="B2:G2"/>
    <mergeCell ref="B3:G3"/>
    <mergeCell ref="E4:F4"/>
    <mergeCell ref="B12:E12"/>
    <mergeCell ref="C29:G29"/>
    <mergeCell ref="C30:G30"/>
    <mergeCell ref="C31:G31"/>
    <mergeCell ref="B10:C10"/>
    <mergeCell ref="B22:E22"/>
    <mergeCell ref="B18:E18"/>
    <mergeCell ref="B26:E26"/>
    <mergeCell ref="B24:E24"/>
    <mergeCell ref="B21:E21"/>
    <mergeCell ref="B19:E19"/>
    <mergeCell ref="C28:G28"/>
    <mergeCell ref="B14:E14"/>
    <mergeCell ref="B15:E15"/>
    <mergeCell ref="B16:E16"/>
    <mergeCell ref="B17:E17"/>
    <mergeCell ref="G12:G13"/>
  </mergeCells>
  <dataValidations count="4">
    <dataValidation type="whole" allowBlank="1" showInputMessage="1" showErrorMessage="1" errorTitle="توجه" error="در ورود اطلاعات دقت نمایید_x000a_عدد مربوط به مبلغ ریالی حق اولاد را مطابق با آخرین حکم کارگزینی وارد نمایید" sqref="C11:D11">
      <formula1>0</formula1>
      <formula2>10000000</formula2>
    </dataValidation>
    <dataValidation type="whole" allowBlank="1" showInputMessage="1" showErrorMessage="1" errorTitle="اخطار" error="عددی از صفر (۰) تا ده (۱۰) وارد نمایید" sqref="G7 G5">
      <formula1>0</formula1>
      <formula2>10</formula2>
    </dataValidation>
    <dataValidation type="whole" allowBlank="1" showInputMessage="1" showErrorMessage="1" errorTitle="اخطار" error="عددی از صفر (۰) تا شصت میلیون ریال (۶۰۰۰۰۰۰۰) وارد نمایید" prompt="در صورت عدم ثبت حقوق روزانه سال 99 و یا ثبت رقم کمتر از حداقل دستمزد روزانه، محاسبات بر اساس حداقل دستمزد سال 99 صورت می پذیرد" sqref="G6">
      <formula1>0</formula1>
      <formula2>60000000</formula2>
    </dataValidation>
    <dataValidation type="whole" allowBlank="1" showInputMessage="1" showErrorMessage="1" errorTitle="اخطار" error="عددی از صفر (۰) تا بیست میلیون ریال (۲۰۰۰۰۰۰۰) وارد نمایید" sqref="G8">
      <formula1>0</formula1>
      <formula2>20000000</formula2>
    </dataValidation>
  </dataValidations>
  <hyperlinks>
    <hyperlink ref="C30" r:id="rId1" display="ZhowanMarket@gmail.com"/>
    <hyperlink ref="B10" r:id="rId2" display="https://shenasname.ir/"/>
    <hyperlink ref="C31" r:id="rId3" display="https://www.instagram.com/sayah.shahdi/"/>
    <hyperlink ref="B8:C9" r:id="rId4" display="دنبال کردن شناسنامه قانون در اینستاگرام (کلیک کنید)"/>
    <hyperlink ref="B2:G2" r:id="rId5" display="تهیه و تنظیم : صیاح الدین شهدی          کارشناس امور اداری و کارگزینی"/>
  </hyperlinks>
  <printOptions horizontalCentered="1"/>
  <pageMargins left="0.11811023622047245" right="0.11811023622047245" top="0.15748031496062992" bottom="0.19685039370078741" header="0.11811023622047245" footer="0.11811023622047245"/>
  <pageSetup paperSize="9" scale="73" orientation="landscape" r:id="rId6"/>
  <drawing r:id="rId7"/>
  <legacyDrawing r:id="rId8"/>
  <mc:AlternateContent xmlns:mc="http://schemas.openxmlformats.org/markup-compatibility/2006">
    <mc:Choice Requires="x14">
      <controls>
        <mc:AlternateContent xmlns:mc="http://schemas.openxmlformats.org/markup-compatibility/2006">
          <mc:Choice Requires="x14">
            <control shapeId="1040" r:id="rId9" name="Check Box 16">
              <controlPr defaultSize="0" autoFill="0" autoLine="0" autoPict="0">
                <anchor moveWithCells="1">
                  <from>
                    <xdr:col>1</xdr:col>
                    <xdr:colOff>495300</xdr:colOff>
                    <xdr:row>4</xdr:row>
                    <xdr:rowOff>66675</xdr:rowOff>
                  </from>
                  <to>
                    <xdr:col>4</xdr:col>
                    <xdr:colOff>85725</xdr:colOff>
                    <xdr:row>5</xdr:row>
                    <xdr:rowOff>295275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504825</xdr:colOff>
                    <xdr:row>3</xdr:row>
                    <xdr:rowOff>19050</xdr:rowOff>
                  </from>
                  <to>
                    <xdr:col>2</xdr:col>
                    <xdr:colOff>609600</xdr:colOff>
                    <xdr:row>3</xdr:row>
                    <xdr:rowOff>333375</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1</xdr:col>
                    <xdr:colOff>2295525</xdr:colOff>
                    <xdr:row>12</xdr:row>
                    <xdr:rowOff>9525</xdr:rowOff>
                  </from>
                  <to>
                    <xdr:col>2</xdr:col>
                    <xdr:colOff>942975</xdr:colOff>
                    <xdr:row>12</xdr:row>
                    <xdr:rowOff>257175</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2</xdr:col>
                    <xdr:colOff>419100</xdr:colOff>
                    <xdr:row>12</xdr:row>
                    <xdr:rowOff>9525</xdr:rowOff>
                  </from>
                  <to>
                    <xdr:col>4</xdr:col>
                    <xdr:colOff>114300</xdr:colOff>
                    <xdr:row>12</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Title="اخطار" error="عددی از صفر (۰) تا ده (۱۰) وارد نمایید">
          <x14:formula1>
            <xm:f>'جدول محاسبات'!$J$3:$J$13</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499984740745262"/>
    <pageSetUpPr fitToPage="1"/>
  </sheetPr>
  <dimension ref="A1:BB118"/>
  <sheetViews>
    <sheetView rightToLeft="1" topLeftCell="W27" zoomScaleNormal="100" workbookViewId="0">
      <selection activeCell="D9" sqref="D9"/>
    </sheetView>
  </sheetViews>
  <sheetFormatPr defaultColWidth="9" defaultRowHeight="14.25" x14ac:dyDescent="0.2"/>
  <cols>
    <col min="1" max="1" width="4.25" style="50" customWidth="1"/>
    <col min="2" max="2" width="18.625" style="50" customWidth="1"/>
    <col min="3" max="3" width="24.75" style="50" customWidth="1"/>
    <col min="4" max="7" width="15.75" style="50" customWidth="1"/>
    <col min="8" max="8" width="10.875" style="50" customWidth="1"/>
    <col min="9" max="9" width="14.625" style="50" customWidth="1"/>
    <col min="10" max="10" width="10" style="50" customWidth="1"/>
    <col min="11" max="25" width="9" style="50"/>
    <col min="26" max="27" width="9.875" style="50" bestFit="1" customWidth="1"/>
    <col min="28" max="31" width="9" style="50"/>
    <col min="32" max="33" width="12.125" style="50" customWidth="1"/>
    <col min="34" max="35" width="9" style="50"/>
    <col min="36" max="36" width="11.875" style="50" bestFit="1" customWidth="1"/>
    <col min="37" max="37" width="9" style="50"/>
    <col min="38" max="38" width="11.875" style="50" bestFit="1" customWidth="1"/>
    <col min="39" max="39" width="9" style="50"/>
    <col min="40" max="40" width="12" style="50" bestFit="1" customWidth="1"/>
    <col min="41" max="41" width="9.25" style="50" bestFit="1" customWidth="1"/>
    <col min="42" max="42" width="9" style="50"/>
    <col min="43" max="43" width="14" style="50" bestFit="1" customWidth="1"/>
    <col min="44" max="44" width="11.75" style="50" customWidth="1"/>
    <col min="45" max="45" width="9" style="50"/>
    <col min="46" max="46" width="99.875" style="50" customWidth="1"/>
    <col min="47" max="16384" width="9" style="50"/>
  </cols>
  <sheetData>
    <row r="1" spans="1:44" ht="26.25" customHeight="1" x14ac:dyDescent="0.2">
      <c r="A1" s="49"/>
      <c r="H1" s="49"/>
      <c r="I1" s="49"/>
      <c r="J1" s="49"/>
      <c r="L1" s="171"/>
      <c r="M1" s="171"/>
      <c r="N1" s="171" t="s">
        <v>43</v>
      </c>
      <c r="O1" s="171"/>
      <c r="P1" s="171"/>
      <c r="Y1" s="50" t="s">
        <v>142</v>
      </c>
      <c r="Z1" s="50" t="s">
        <v>135</v>
      </c>
      <c r="AD1" s="50" t="s">
        <v>141</v>
      </c>
      <c r="AE1" s="50" t="s">
        <v>135</v>
      </c>
    </row>
    <row r="2" spans="1:44" ht="43.5" customHeight="1" x14ac:dyDescent="0.2">
      <c r="A2" s="49"/>
      <c r="H2" s="49"/>
      <c r="I2" s="49">
        <v>8</v>
      </c>
      <c r="J2" s="196">
        <v>0</v>
      </c>
      <c r="K2" s="196">
        <v>0</v>
      </c>
      <c r="L2" s="196">
        <v>1</v>
      </c>
      <c r="M2" s="196">
        <v>2</v>
      </c>
      <c r="N2" s="196">
        <v>3</v>
      </c>
      <c r="O2" s="196">
        <v>4</v>
      </c>
      <c r="P2" s="196">
        <v>5</v>
      </c>
      <c r="Q2" s="196">
        <v>6</v>
      </c>
      <c r="R2" s="196">
        <v>7</v>
      </c>
      <c r="S2" s="196">
        <v>8</v>
      </c>
      <c r="T2" s="196">
        <v>9</v>
      </c>
      <c r="U2" s="196">
        <v>10</v>
      </c>
      <c r="V2" s="196">
        <v>11</v>
      </c>
      <c r="X2" s="197">
        <v>1</v>
      </c>
      <c r="AA2" s="192">
        <f>VLOOKUP(X2,X4:AA23,4,0)</f>
        <v>1000000</v>
      </c>
      <c r="AD2" s="197">
        <v>1</v>
      </c>
      <c r="AE2" s="192">
        <f>VLOOKUP(AD2,AD4:AF23,2,0)</f>
        <v>636809</v>
      </c>
      <c r="AF2" s="192">
        <f>VLOOKUP(AD2,AD4:AF23,3,0)</f>
        <v>19104270</v>
      </c>
      <c r="AG2" s="195"/>
      <c r="AI2" s="282" t="s">
        <v>145</v>
      </c>
      <c r="AJ2" s="280" t="s">
        <v>143</v>
      </c>
      <c r="AK2" s="281"/>
      <c r="AL2" s="280" t="s">
        <v>144</v>
      </c>
      <c r="AM2" s="281"/>
      <c r="AN2" s="280" t="s">
        <v>136</v>
      </c>
      <c r="AO2" s="281"/>
      <c r="AR2" s="50">
        <v>1</v>
      </c>
    </row>
    <row r="3" spans="1:44" ht="25.5" customHeight="1" x14ac:dyDescent="0.2">
      <c r="A3" s="49"/>
      <c r="B3" s="277" t="s">
        <v>156</v>
      </c>
      <c r="C3" s="278"/>
      <c r="D3" s="187">
        <v>1</v>
      </c>
      <c r="H3" s="49"/>
      <c r="I3" s="49">
        <v>4</v>
      </c>
      <c r="J3" s="197">
        <v>0</v>
      </c>
      <c r="K3" s="192">
        <v>0</v>
      </c>
      <c r="L3" s="192">
        <v>2778</v>
      </c>
      <c r="M3" s="192">
        <v>5556</v>
      </c>
      <c r="N3" s="192">
        <v>8333</v>
      </c>
      <c r="O3" s="192">
        <v>11111</v>
      </c>
      <c r="P3" s="192">
        <v>13889</v>
      </c>
      <c r="Q3" s="192">
        <v>16667</v>
      </c>
      <c r="R3" s="192">
        <v>19444</v>
      </c>
      <c r="S3" s="192">
        <v>22222</v>
      </c>
      <c r="T3" s="192">
        <v>25000</v>
      </c>
      <c r="U3" s="192">
        <v>27778</v>
      </c>
      <c r="V3" s="193">
        <v>30555</v>
      </c>
      <c r="AI3" s="283"/>
      <c r="AJ3" s="199" t="s">
        <v>146</v>
      </c>
      <c r="AK3" s="199" t="s">
        <v>147</v>
      </c>
      <c r="AL3" s="199" t="s">
        <v>146</v>
      </c>
      <c r="AM3" s="199" t="s">
        <v>147</v>
      </c>
      <c r="AN3" s="199" t="s">
        <v>146</v>
      </c>
      <c r="AO3" s="199" t="s">
        <v>147</v>
      </c>
      <c r="AQ3" s="183"/>
      <c r="AR3" s="201">
        <f>IF(AR2=1,30,31)</f>
        <v>30</v>
      </c>
    </row>
    <row r="4" spans="1:44" ht="21" x14ac:dyDescent="0.2">
      <c r="A4" s="49"/>
      <c r="H4" s="49"/>
      <c r="I4" s="49">
        <f>VLOOKUP(I2,J2:V33,I3+2,0)</f>
        <v>161149</v>
      </c>
      <c r="J4" s="197">
        <v>1</v>
      </c>
      <c r="K4" s="192">
        <v>33333</v>
      </c>
      <c r="L4" s="192">
        <v>35569</v>
      </c>
      <c r="M4" s="192">
        <v>37805</v>
      </c>
      <c r="N4" s="192">
        <v>40041</v>
      </c>
      <c r="O4" s="192">
        <v>42278</v>
      </c>
      <c r="P4" s="192">
        <v>44513</v>
      </c>
      <c r="Q4" s="192">
        <v>46750</v>
      </c>
      <c r="R4" s="192">
        <v>48986</v>
      </c>
      <c r="S4" s="192">
        <v>51221</v>
      </c>
      <c r="T4" s="192">
        <v>53458</v>
      </c>
      <c r="U4" s="192">
        <v>55694</v>
      </c>
      <c r="V4" s="193">
        <v>57930</v>
      </c>
      <c r="X4" s="197">
        <v>1</v>
      </c>
      <c r="Y4" s="192">
        <v>33333</v>
      </c>
      <c r="Z4" s="192">
        <f>Y4*30</f>
        <v>999990</v>
      </c>
      <c r="AA4" s="192">
        <f>Z4+10</f>
        <v>1000000</v>
      </c>
      <c r="AD4" s="197">
        <v>1</v>
      </c>
      <c r="AE4" s="192">
        <v>636809</v>
      </c>
      <c r="AF4" s="192">
        <f>AE4*30</f>
        <v>19104270</v>
      </c>
      <c r="AG4" s="195"/>
      <c r="AI4" s="197">
        <v>1</v>
      </c>
      <c r="AJ4" s="192">
        <v>58333</v>
      </c>
      <c r="AK4" s="192">
        <v>611809</v>
      </c>
      <c r="AL4" s="192">
        <v>33333</v>
      </c>
      <c r="AM4" s="192">
        <v>636809</v>
      </c>
      <c r="AN4" s="192">
        <v>23333</v>
      </c>
      <c r="AO4" s="192">
        <v>505627</v>
      </c>
      <c r="AQ4" s="183" t="s">
        <v>148</v>
      </c>
      <c r="AR4" s="183" t="b">
        <v>0</v>
      </c>
    </row>
    <row r="5" spans="1:44" ht="21" x14ac:dyDescent="0.2">
      <c r="A5" s="49"/>
      <c r="B5" s="267"/>
      <c r="C5" s="268"/>
      <c r="H5" s="49"/>
      <c r="I5" s="49"/>
      <c r="J5" s="197">
        <v>2</v>
      </c>
      <c r="K5" s="192">
        <v>60166</v>
      </c>
      <c r="L5" s="192">
        <v>62007</v>
      </c>
      <c r="M5" s="192">
        <v>63847</v>
      </c>
      <c r="N5" s="192">
        <v>65689</v>
      </c>
      <c r="O5" s="192">
        <v>67531</v>
      </c>
      <c r="P5" s="192">
        <v>69371</v>
      </c>
      <c r="Q5" s="192">
        <v>71212</v>
      </c>
      <c r="R5" s="192">
        <v>73053</v>
      </c>
      <c r="S5" s="192">
        <v>74893</v>
      </c>
      <c r="T5" s="192">
        <v>76735</v>
      </c>
      <c r="U5" s="192">
        <v>78576</v>
      </c>
      <c r="V5" s="193">
        <v>80416</v>
      </c>
      <c r="X5" s="197">
        <v>2</v>
      </c>
      <c r="Y5" s="192">
        <v>33533</v>
      </c>
      <c r="Z5" s="192">
        <f>Y5*30</f>
        <v>1005990</v>
      </c>
      <c r="AA5" s="192">
        <f t="shared" ref="AA5:AA23" si="0">Z5+10</f>
        <v>1006000</v>
      </c>
      <c r="AD5" s="197">
        <v>2</v>
      </c>
      <c r="AE5" s="192">
        <v>638674</v>
      </c>
      <c r="AF5" s="192">
        <f>AE5*30</f>
        <v>19160220</v>
      </c>
      <c r="AG5" s="195"/>
      <c r="AI5" s="197">
        <v>2</v>
      </c>
      <c r="AJ5" s="192">
        <v>58533</v>
      </c>
      <c r="AK5" s="192">
        <v>613672</v>
      </c>
      <c r="AL5" s="192">
        <v>33533</v>
      </c>
      <c r="AM5" s="192">
        <v>638672</v>
      </c>
      <c r="AN5" s="192">
        <v>23533</v>
      </c>
      <c r="AO5" s="192">
        <v>507237</v>
      </c>
      <c r="AQ5" s="183" t="s">
        <v>149</v>
      </c>
      <c r="AR5" s="183" t="b">
        <v>1</v>
      </c>
    </row>
    <row r="6" spans="1:44" ht="21" x14ac:dyDescent="0.2">
      <c r="A6" s="49"/>
      <c r="H6" s="49"/>
      <c r="I6" s="49"/>
      <c r="J6" s="197">
        <v>3</v>
      </c>
      <c r="K6" s="192">
        <v>82257</v>
      </c>
      <c r="L6" s="192">
        <v>84291</v>
      </c>
      <c r="M6" s="192">
        <v>86322</v>
      </c>
      <c r="N6" s="192">
        <v>88355</v>
      </c>
      <c r="O6" s="192">
        <v>90388</v>
      </c>
      <c r="P6" s="192">
        <v>92419</v>
      </c>
      <c r="Q6" s="192">
        <v>94452</v>
      </c>
      <c r="R6" s="192">
        <v>96485</v>
      </c>
      <c r="S6" s="192">
        <v>98516</v>
      </c>
      <c r="T6" s="192">
        <v>100549</v>
      </c>
      <c r="U6" s="192">
        <v>102583</v>
      </c>
      <c r="V6" s="193">
        <v>104613</v>
      </c>
      <c r="X6" s="197">
        <v>3</v>
      </c>
      <c r="Y6" s="192">
        <v>33733</v>
      </c>
      <c r="Z6" s="192">
        <f t="shared" ref="Z6:Z23" si="1">Y6*30</f>
        <v>1011990</v>
      </c>
      <c r="AA6" s="192">
        <f t="shared" si="0"/>
        <v>1012000</v>
      </c>
      <c r="AD6" s="197">
        <v>3</v>
      </c>
      <c r="AE6" s="192">
        <v>640538</v>
      </c>
      <c r="AF6" s="192">
        <f t="shared" ref="AF6:AF23" si="2">AE6*30</f>
        <v>19216140</v>
      </c>
      <c r="AG6" s="195"/>
      <c r="AI6" s="197">
        <v>3</v>
      </c>
      <c r="AJ6" s="192">
        <v>58733</v>
      </c>
      <c r="AK6" s="192">
        <v>615535</v>
      </c>
      <c r="AL6" s="192">
        <v>33733</v>
      </c>
      <c r="AM6" s="192">
        <v>640535</v>
      </c>
      <c r="AN6" s="192">
        <v>23733</v>
      </c>
      <c r="AO6" s="192">
        <v>508858</v>
      </c>
      <c r="AQ6" s="183" t="s">
        <v>150</v>
      </c>
      <c r="AR6" s="183" t="b">
        <v>1</v>
      </c>
    </row>
    <row r="7" spans="1:44" ht="21" x14ac:dyDescent="0.2">
      <c r="A7" s="49"/>
      <c r="H7" s="49"/>
      <c r="I7" s="49"/>
      <c r="J7" s="197">
        <v>4</v>
      </c>
      <c r="K7" s="192">
        <v>106647</v>
      </c>
      <c r="L7" s="192">
        <v>107985</v>
      </c>
      <c r="M7" s="192">
        <v>109325</v>
      </c>
      <c r="N7" s="192">
        <v>110664</v>
      </c>
      <c r="O7" s="192">
        <v>112002</v>
      </c>
      <c r="P7" s="192">
        <v>113342</v>
      </c>
      <c r="Q7" s="192">
        <v>114381</v>
      </c>
      <c r="R7" s="192">
        <v>116019</v>
      </c>
      <c r="S7" s="192">
        <v>117359</v>
      </c>
      <c r="T7" s="192">
        <v>118698</v>
      </c>
      <c r="U7" s="192">
        <v>120036</v>
      </c>
      <c r="V7" s="193">
        <v>121376</v>
      </c>
      <c r="X7" s="197">
        <v>4</v>
      </c>
      <c r="Y7" s="192">
        <v>33933</v>
      </c>
      <c r="Z7" s="192">
        <f t="shared" si="1"/>
        <v>1017990</v>
      </c>
      <c r="AA7" s="192">
        <f t="shared" si="0"/>
        <v>1018000</v>
      </c>
      <c r="AD7" s="197">
        <v>4</v>
      </c>
      <c r="AE7" s="192">
        <v>642403</v>
      </c>
      <c r="AF7" s="192">
        <f t="shared" si="2"/>
        <v>19272090</v>
      </c>
      <c r="AG7" s="195"/>
      <c r="AI7" s="197">
        <v>4</v>
      </c>
      <c r="AJ7" s="192">
        <v>58933</v>
      </c>
      <c r="AK7" s="192">
        <v>617403</v>
      </c>
      <c r="AL7" s="192">
        <v>33933</v>
      </c>
      <c r="AM7" s="192">
        <v>640403</v>
      </c>
      <c r="AN7" s="192">
        <v>23933</v>
      </c>
      <c r="AO7" s="192">
        <v>510482</v>
      </c>
      <c r="AQ7" s="183" t="s">
        <v>151</v>
      </c>
      <c r="AR7" s="183" t="b">
        <v>1</v>
      </c>
    </row>
    <row r="8" spans="1:44" ht="21" x14ac:dyDescent="0.2">
      <c r="A8" s="49"/>
      <c r="H8" s="49"/>
      <c r="I8" s="49"/>
      <c r="J8" s="197">
        <v>5</v>
      </c>
      <c r="K8" s="192">
        <v>122714</v>
      </c>
      <c r="L8" s="192">
        <v>124241</v>
      </c>
      <c r="M8" s="192">
        <v>125768</v>
      </c>
      <c r="N8" s="192">
        <v>127294</v>
      </c>
      <c r="O8" s="192">
        <v>128821</v>
      </c>
      <c r="P8" s="192">
        <v>130347</v>
      </c>
      <c r="Q8" s="192">
        <v>131873</v>
      </c>
      <c r="R8" s="192">
        <v>133400</v>
      </c>
      <c r="S8" s="192">
        <v>134926</v>
      </c>
      <c r="T8" s="192">
        <v>136452</v>
      </c>
      <c r="U8" s="192">
        <v>137980</v>
      </c>
      <c r="V8" s="192">
        <v>139506</v>
      </c>
      <c r="X8" s="197">
        <v>5</v>
      </c>
      <c r="Y8" s="192">
        <v>34133</v>
      </c>
      <c r="Z8" s="192">
        <f t="shared" si="1"/>
        <v>1023990</v>
      </c>
      <c r="AA8" s="192">
        <f t="shared" si="0"/>
        <v>1024000</v>
      </c>
      <c r="AD8" s="197">
        <v>5</v>
      </c>
      <c r="AE8" s="192">
        <v>644889</v>
      </c>
      <c r="AF8" s="192">
        <f t="shared" si="2"/>
        <v>19346670</v>
      </c>
      <c r="AG8" s="195"/>
      <c r="AI8" s="197">
        <v>5</v>
      </c>
      <c r="AJ8" s="192">
        <v>59133</v>
      </c>
      <c r="AK8" s="192">
        <v>619273</v>
      </c>
      <c r="AL8" s="192">
        <v>34133</v>
      </c>
      <c r="AM8" s="192">
        <v>644273</v>
      </c>
      <c r="AN8" s="192">
        <v>24133</v>
      </c>
      <c r="AO8" s="192">
        <v>512639</v>
      </c>
    </row>
    <row r="9" spans="1:44" ht="21" x14ac:dyDescent="0.2">
      <c r="A9" s="49"/>
      <c r="H9" s="49"/>
      <c r="I9" s="49"/>
      <c r="J9" s="197">
        <v>6</v>
      </c>
      <c r="K9" s="192">
        <v>141032</v>
      </c>
      <c r="L9" s="192">
        <v>141926</v>
      </c>
      <c r="M9" s="192">
        <v>142818</v>
      </c>
      <c r="N9" s="192">
        <v>143711</v>
      </c>
      <c r="O9" s="192">
        <v>144605</v>
      </c>
      <c r="P9" s="192">
        <v>145496</v>
      </c>
      <c r="Q9" s="192">
        <v>146390</v>
      </c>
      <c r="R9" s="192">
        <v>147284</v>
      </c>
      <c r="S9" s="192">
        <v>148175</v>
      </c>
      <c r="T9" s="192">
        <v>149069</v>
      </c>
      <c r="U9" s="192">
        <v>149963</v>
      </c>
      <c r="V9" s="192">
        <v>150854</v>
      </c>
      <c r="X9" s="197">
        <v>6</v>
      </c>
      <c r="Y9" s="192">
        <v>34333</v>
      </c>
      <c r="Z9" s="192">
        <f t="shared" si="1"/>
        <v>1029990</v>
      </c>
      <c r="AA9" s="192">
        <f t="shared" si="0"/>
        <v>1030000</v>
      </c>
      <c r="AD9" s="197">
        <v>6</v>
      </c>
      <c r="AE9" s="192">
        <v>647375</v>
      </c>
      <c r="AF9" s="192">
        <f t="shared" si="2"/>
        <v>19421250</v>
      </c>
      <c r="AG9" s="195"/>
      <c r="AI9" s="197">
        <v>6</v>
      </c>
      <c r="AJ9" s="192">
        <v>59333</v>
      </c>
      <c r="AK9" s="192">
        <v>621754</v>
      </c>
      <c r="AL9" s="192">
        <v>34333</v>
      </c>
      <c r="AM9" s="192">
        <v>646754</v>
      </c>
      <c r="AN9" s="192">
        <v>24333</v>
      </c>
      <c r="AO9" s="192">
        <v>514805</v>
      </c>
    </row>
    <row r="10" spans="1:44" ht="24.75" x14ac:dyDescent="0.6">
      <c r="A10" s="49"/>
      <c r="H10" s="49"/>
      <c r="I10" s="49"/>
      <c r="J10" s="197">
        <v>7</v>
      </c>
      <c r="K10" s="192">
        <v>151747</v>
      </c>
      <c r="L10" s="192">
        <v>152348</v>
      </c>
      <c r="M10" s="192">
        <v>152948</v>
      </c>
      <c r="N10" s="192">
        <v>153548</v>
      </c>
      <c r="O10" s="192">
        <v>154149</v>
      </c>
      <c r="P10" s="192">
        <v>154749</v>
      </c>
      <c r="Q10" s="192">
        <v>155348</v>
      </c>
      <c r="R10" s="192">
        <v>155948</v>
      </c>
      <c r="S10" s="192">
        <v>156549</v>
      </c>
      <c r="T10" s="192">
        <v>157149</v>
      </c>
      <c r="U10" s="192">
        <v>157749</v>
      </c>
      <c r="V10" s="191">
        <v>158348</v>
      </c>
      <c r="X10" s="197">
        <v>7</v>
      </c>
      <c r="Y10" s="192">
        <v>34533</v>
      </c>
      <c r="Z10" s="192">
        <f t="shared" si="1"/>
        <v>1035990</v>
      </c>
      <c r="AA10" s="192">
        <f t="shared" si="0"/>
        <v>1036000</v>
      </c>
      <c r="AD10" s="197">
        <v>7</v>
      </c>
      <c r="AE10" s="192">
        <v>649861</v>
      </c>
      <c r="AF10" s="192">
        <f t="shared" si="2"/>
        <v>19495830</v>
      </c>
      <c r="AG10" s="195"/>
      <c r="AI10" s="197">
        <v>7</v>
      </c>
      <c r="AJ10" s="192">
        <v>59533</v>
      </c>
      <c r="AK10" s="192">
        <v>624242</v>
      </c>
      <c r="AL10" s="192">
        <v>34533</v>
      </c>
      <c r="AM10" s="192">
        <v>649242</v>
      </c>
      <c r="AN10" s="192">
        <v>24533</v>
      </c>
      <c r="AO10" s="192">
        <v>516960</v>
      </c>
      <c r="AQ10" s="189" t="s">
        <v>134</v>
      </c>
      <c r="AR10" s="189" t="s">
        <v>135</v>
      </c>
    </row>
    <row r="11" spans="1:44" ht="24.75" x14ac:dyDescent="0.6">
      <c r="A11" s="49"/>
      <c r="H11" s="49"/>
      <c r="I11" s="49"/>
      <c r="J11" s="197">
        <v>8</v>
      </c>
      <c r="K11" s="192">
        <v>158949</v>
      </c>
      <c r="L11" s="192">
        <v>159498</v>
      </c>
      <c r="M11" s="192">
        <v>160050</v>
      </c>
      <c r="N11" s="192">
        <v>160599</v>
      </c>
      <c r="O11" s="192">
        <v>161149</v>
      </c>
      <c r="P11" s="192">
        <v>161701</v>
      </c>
      <c r="Q11" s="192">
        <v>162249</v>
      </c>
      <c r="R11" s="192">
        <v>162799</v>
      </c>
      <c r="S11" s="192">
        <v>163351</v>
      </c>
      <c r="T11" s="192">
        <v>163899</v>
      </c>
      <c r="U11" s="192">
        <v>164449</v>
      </c>
      <c r="V11" s="192">
        <v>165001</v>
      </c>
      <c r="X11" s="197">
        <v>8</v>
      </c>
      <c r="Y11" s="192">
        <v>34733</v>
      </c>
      <c r="Z11" s="192">
        <f t="shared" si="1"/>
        <v>1041990</v>
      </c>
      <c r="AA11" s="192">
        <f t="shared" si="0"/>
        <v>1042000</v>
      </c>
      <c r="AD11" s="197">
        <v>8</v>
      </c>
      <c r="AE11" s="192">
        <v>652968</v>
      </c>
      <c r="AF11" s="192">
        <f t="shared" si="2"/>
        <v>19589040</v>
      </c>
      <c r="AG11" s="195"/>
      <c r="AI11" s="197">
        <v>8</v>
      </c>
      <c r="AJ11" s="192">
        <v>59733</v>
      </c>
      <c r="AK11" s="192">
        <v>626730</v>
      </c>
      <c r="AL11" s="192">
        <v>34733</v>
      </c>
      <c r="AM11" s="192">
        <v>651730</v>
      </c>
      <c r="AN11" s="192">
        <v>24733</v>
      </c>
      <c r="AO11" s="192">
        <v>519661</v>
      </c>
      <c r="AQ11" s="198">
        <f>'جدول محاسبات'!AK25</f>
        <v>611809</v>
      </c>
      <c r="AR11" s="198">
        <f>'جدول محاسبات'!AM25</f>
        <v>636809</v>
      </c>
    </row>
    <row r="12" spans="1:44" ht="24.75" x14ac:dyDescent="0.6">
      <c r="A12" s="49"/>
      <c r="H12" s="49"/>
      <c r="I12" s="49"/>
      <c r="J12" s="197">
        <v>9</v>
      </c>
      <c r="K12" s="192">
        <v>165550</v>
      </c>
      <c r="L12" s="192">
        <v>166021</v>
      </c>
      <c r="M12" s="192">
        <v>166490</v>
      </c>
      <c r="N12" s="192">
        <v>166963</v>
      </c>
      <c r="O12" s="192">
        <v>167435</v>
      </c>
      <c r="P12" s="192">
        <v>167904</v>
      </c>
      <c r="Q12" s="192">
        <v>168375</v>
      </c>
      <c r="R12" s="192">
        <v>168847</v>
      </c>
      <c r="S12" s="192">
        <v>169316</v>
      </c>
      <c r="T12" s="192">
        <v>169787</v>
      </c>
      <c r="U12" s="192">
        <v>170259</v>
      </c>
      <c r="V12" s="191">
        <v>170728</v>
      </c>
      <c r="X12" s="197">
        <v>9</v>
      </c>
      <c r="Y12" s="192">
        <v>34933</v>
      </c>
      <c r="Z12" s="192">
        <f t="shared" si="1"/>
        <v>1047990</v>
      </c>
      <c r="AA12" s="192">
        <f t="shared" si="0"/>
        <v>1048000</v>
      </c>
      <c r="AD12" s="197">
        <v>9</v>
      </c>
      <c r="AE12" s="192">
        <v>656076</v>
      </c>
      <c r="AF12" s="192">
        <f t="shared" si="2"/>
        <v>19682280</v>
      </c>
      <c r="AG12" s="195"/>
      <c r="AI12" s="197">
        <v>9</v>
      </c>
      <c r="AJ12" s="192">
        <v>59933</v>
      </c>
      <c r="AK12" s="192">
        <v>629839</v>
      </c>
      <c r="AL12" s="192">
        <v>34933</v>
      </c>
      <c r="AM12" s="192">
        <v>654839</v>
      </c>
      <c r="AN12" s="192">
        <v>24933</v>
      </c>
      <c r="AO12" s="192">
        <v>522361</v>
      </c>
      <c r="AQ12" s="198"/>
      <c r="AR12" s="198"/>
    </row>
    <row r="13" spans="1:44" ht="24.75" x14ac:dyDescent="0.6">
      <c r="A13" s="49"/>
      <c r="H13" s="49"/>
      <c r="I13" s="49"/>
      <c r="J13" s="197">
        <v>10</v>
      </c>
      <c r="K13" s="192">
        <v>171201</v>
      </c>
      <c r="L13" s="192">
        <v>171700</v>
      </c>
      <c r="M13" s="192">
        <v>172198</v>
      </c>
      <c r="N13" s="192">
        <v>172698</v>
      </c>
      <c r="O13" s="192">
        <v>173197</v>
      </c>
      <c r="P13" s="192">
        <v>173695</v>
      </c>
      <c r="Q13" s="192">
        <v>174195</v>
      </c>
      <c r="R13" s="192">
        <v>174696</v>
      </c>
      <c r="S13" s="192">
        <v>175192</v>
      </c>
      <c r="T13" s="192">
        <v>175693</v>
      </c>
      <c r="U13" s="192">
        <v>176193</v>
      </c>
      <c r="V13" s="191">
        <v>176690</v>
      </c>
      <c r="X13" s="197">
        <v>10</v>
      </c>
      <c r="Y13" s="192">
        <v>35133</v>
      </c>
      <c r="Z13" s="192">
        <f t="shared" si="1"/>
        <v>1053990</v>
      </c>
      <c r="AA13" s="192">
        <f t="shared" si="0"/>
        <v>1054000</v>
      </c>
      <c r="AD13" s="197">
        <v>10</v>
      </c>
      <c r="AE13" s="192">
        <v>659805</v>
      </c>
      <c r="AF13" s="192">
        <f t="shared" si="2"/>
        <v>19794150</v>
      </c>
      <c r="AG13" s="195"/>
      <c r="AI13" s="197">
        <v>10</v>
      </c>
      <c r="AJ13" s="192">
        <v>60133</v>
      </c>
      <c r="AK13" s="192">
        <v>632948</v>
      </c>
      <c r="AL13" s="192">
        <v>35133</v>
      </c>
      <c r="AM13" s="192">
        <v>657948</v>
      </c>
      <c r="AN13" s="192">
        <v>25133</v>
      </c>
      <c r="AO13" s="192">
        <v>525602</v>
      </c>
      <c r="AQ13" s="189">
        <f>'جدول محاسبات'!AK26</f>
        <v>58333</v>
      </c>
      <c r="AR13" s="189">
        <f>'جدول محاسبات'!AM26</f>
        <v>33333</v>
      </c>
    </row>
    <row r="14" spans="1:44" ht="24.75" x14ac:dyDescent="0.6">
      <c r="A14" s="49"/>
      <c r="H14" s="49"/>
      <c r="I14" s="49"/>
      <c r="J14" s="197">
        <v>11</v>
      </c>
      <c r="K14" s="192">
        <v>177190</v>
      </c>
      <c r="L14" s="192">
        <v>177523</v>
      </c>
      <c r="M14" s="192">
        <v>177856</v>
      </c>
      <c r="N14" s="192">
        <v>178189</v>
      </c>
      <c r="O14" s="192">
        <v>178523</v>
      </c>
      <c r="P14" s="192">
        <v>178856</v>
      </c>
      <c r="Q14" s="192">
        <v>179189</v>
      </c>
      <c r="R14" s="192">
        <v>179522</v>
      </c>
      <c r="S14" s="192">
        <v>179856</v>
      </c>
      <c r="T14" s="192">
        <v>180189</v>
      </c>
      <c r="U14" s="192">
        <v>180523</v>
      </c>
      <c r="V14" s="191">
        <v>180855</v>
      </c>
      <c r="X14" s="197">
        <v>11</v>
      </c>
      <c r="Y14" s="192">
        <v>35333</v>
      </c>
      <c r="Z14" s="192">
        <f t="shared" si="1"/>
        <v>1059990</v>
      </c>
      <c r="AA14" s="192">
        <f t="shared" si="0"/>
        <v>1060000</v>
      </c>
      <c r="AD14" s="197">
        <v>11</v>
      </c>
      <c r="AE14" s="192">
        <v>663534</v>
      </c>
      <c r="AF14" s="192">
        <f t="shared" si="2"/>
        <v>19906020</v>
      </c>
      <c r="AG14" s="195"/>
      <c r="AI14" s="197">
        <v>11</v>
      </c>
      <c r="AJ14" s="192">
        <v>60333</v>
      </c>
      <c r="AK14" s="192">
        <v>636677</v>
      </c>
      <c r="AL14" s="192">
        <v>35333</v>
      </c>
      <c r="AM14" s="192">
        <v>661677</v>
      </c>
      <c r="AN14" s="192">
        <v>25333</v>
      </c>
      <c r="AO14" s="192">
        <v>528843</v>
      </c>
      <c r="AQ14" s="189">
        <f>611809*3</f>
        <v>1835427</v>
      </c>
      <c r="AR14" s="189">
        <f>636809*3</f>
        <v>1910427</v>
      </c>
    </row>
    <row r="15" spans="1:44" ht="21" x14ac:dyDescent="0.2">
      <c r="A15" s="49"/>
      <c r="H15" s="49"/>
      <c r="I15" s="49"/>
      <c r="J15" s="197">
        <v>12</v>
      </c>
      <c r="K15" s="192">
        <v>181195</v>
      </c>
      <c r="L15" s="192">
        <v>181545</v>
      </c>
      <c r="M15" s="192">
        <v>181895</v>
      </c>
      <c r="N15" s="192">
        <v>182245</v>
      </c>
      <c r="O15" s="192">
        <v>182595</v>
      </c>
      <c r="P15" s="192">
        <v>182945</v>
      </c>
      <c r="Q15" s="192">
        <v>183294</v>
      </c>
      <c r="R15" s="192">
        <v>183645</v>
      </c>
      <c r="S15" s="192">
        <v>183995</v>
      </c>
      <c r="T15" s="192">
        <v>184344</v>
      </c>
      <c r="U15" s="192">
        <v>184694</v>
      </c>
      <c r="V15" s="191">
        <v>185044</v>
      </c>
      <c r="X15" s="197">
        <v>12</v>
      </c>
      <c r="Y15" s="192">
        <v>35733</v>
      </c>
      <c r="Z15" s="192">
        <f t="shared" si="1"/>
        <v>1071990</v>
      </c>
      <c r="AA15" s="192">
        <f t="shared" si="0"/>
        <v>1072000</v>
      </c>
      <c r="AD15" s="197">
        <v>12</v>
      </c>
      <c r="AE15" s="192">
        <v>667263</v>
      </c>
      <c r="AF15" s="192">
        <f t="shared" si="2"/>
        <v>20017890</v>
      </c>
      <c r="AG15" s="195"/>
      <c r="AI15" s="197">
        <v>12</v>
      </c>
      <c r="AJ15" s="192">
        <v>60733</v>
      </c>
      <c r="AK15" s="192">
        <v>640411</v>
      </c>
      <c r="AL15" s="192">
        <v>35733</v>
      </c>
      <c r="AM15" s="192">
        <v>665411</v>
      </c>
      <c r="AN15" s="192">
        <v>25733</v>
      </c>
      <c r="AO15" s="192">
        <v>532084</v>
      </c>
      <c r="AQ15" s="183"/>
      <c r="AR15" s="183"/>
    </row>
    <row r="16" spans="1:44" ht="24.75" x14ac:dyDescent="0.6">
      <c r="A16" s="49"/>
      <c r="H16" s="49"/>
      <c r="I16" s="49"/>
      <c r="J16" s="197">
        <v>13</v>
      </c>
      <c r="K16" s="192">
        <v>185401</v>
      </c>
      <c r="L16" s="192">
        <v>185768</v>
      </c>
      <c r="M16" s="192">
        <v>186136</v>
      </c>
      <c r="N16" s="192">
        <v>186503</v>
      </c>
      <c r="O16" s="192">
        <v>186871</v>
      </c>
      <c r="P16" s="192">
        <v>187238</v>
      </c>
      <c r="Q16" s="192">
        <v>187606</v>
      </c>
      <c r="R16" s="192">
        <v>187972</v>
      </c>
      <c r="S16" s="192">
        <v>188340</v>
      </c>
      <c r="T16" s="192">
        <v>188707</v>
      </c>
      <c r="U16" s="192">
        <v>189075</v>
      </c>
      <c r="V16" s="191">
        <v>189442</v>
      </c>
      <c r="X16" s="197">
        <v>13</v>
      </c>
      <c r="Y16" s="192">
        <v>36133</v>
      </c>
      <c r="Z16" s="192">
        <f t="shared" si="1"/>
        <v>1083990</v>
      </c>
      <c r="AA16" s="192">
        <f t="shared" si="0"/>
        <v>1084000</v>
      </c>
      <c r="AD16" s="197">
        <v>13</v>
      </c>
      <c r="AE16" s="192">
        <v>672235</v>
      </c>
      <c r="AF16" s="192">
        <f t="shared" si="2"/>
        <v>20167050</v>
      </c>
      <c r="AG16" s="195"/>
      <c r="AI16" s="197">
        <v>13</v>
      </c>
      <c r="AJ16" s="192">
        <v>61133</v>
      </c>
      <c r="AK16" s="192">
        <v>644145</v>
      </c>
      <c r="AL16" s="192">
        <v>36133</v>
      </c>
      <c r="AM16" s="192">
        <v>669145</v>
      </c>
      <c r="AN16" s="192">
        <v>26133</v>
      </c>
      <c r="AO16" s="192">
        <v>536425</v>
      </c>
      <c r="AQ16" s="189">
        <f>AR16*30</f>
        <v>15168810</v>
      </c>
      <c r="AR16" s="189">
        <v>505627</v>
      </c>
    </row>
    <row r="17" spans="1:46" ht="24.75" x14ac:dyDescent="0.6">
      <c r="A17" s="49"/>
      <c r="H17" s="49"/>
      <c r="I17" s="49"/>
      <c r="J17" s="197">
        <v>14</v>
      </c>
      <c r="K17" s="192">
        <v>189817</v>
      </c>
      <c r="L17" s="192">
        <v>190219</v>
      </c>
      <c r="M17" s="192">
        <v>190625</v>
      </c>
      <c r="N17" s="192">
        <v>191029</v>
      </c>
      <c r="O17" s="192">
        <v>191434</v>
      </c>
      <c r="P17" s="192">
        <v>191838</v>
      </c>
      <c r="Q17" s="192">
        <v>192241</v>
      </c>
      <c r="R17" s="192">
        <v>192646</v>
      </c>
      <c r="S17" s="192">
        <v>193050</v>
      </c>
      <c r="T17" s="192">
        <v>193454</v>
      </c>
      <c r="U17" s="192">
        <v>193858</v>
      </c>
      <c r="V17" s="191">
        <v>194263</v>
      </c>
      <c r="X17" s="197">
        <v>14</v>
      </c>
      <c r="Y17" s="192">
        <v>36533</v>
      </c>
      <c r="Z17" s="192">
        <f t="shared" si="1"/>
        <v>1095990</v>
      </c>
      <c r="AA17" s="192">
        <f t="shared" si="0"/>
        <v>1096000</v>
      </c>
      <c r="AD17" s="197">
        <v>14</v>
      </c>
      <c r="AE17" s="192">
        <v>677207</v>
      </c>
      <c r="AF17" s="192">
        <f t="shared" si="2"/>
        <v>20316210</v>
      </c>
      <c r="AG17" s="195"/>
      <c r="AI17" s="197">
        <v>14</v>
      </c>
      <c r="AJ17" s="192">
        <v>61533</v>
      </c>
      <c r="AK17" s="192">
        <v>649113</v>
      </c>
      <c r="AL17" s="192">
        <v>36533</v>
      </c>
      <c r="AM17" s="192">
        <v>674113</v>
      </c>
      <c r="AN17" s="192">
        <v>26533</v>
      </c>
      <c r="AO17" s="192">
        <v>540827</v>
      </c>
      <c r="AQ17" s="189">
        <v>30338</v>
      </c>
      <c r="AR17" s="189">
        <v>55338</v>
      </c>
    </row>
    <row r="18" spans="1:46" ht="21" x14ac:dyDescent="0.2">
      <c r="A18" s="49"/>
      <c r="H18" s="49"/>
      <c r="I18" s="49"/>
      <c r="J18" s="197">
        <v>15</v>
      </c>
      <c r="K18" s="192">
        <v>194675</v>
      </c>
      <c r="L18" s="192">
        <v>195038</v>
      </c>
      <c r="M18" s="192">
        <v>195401</v>
      </c>
      <c r="N18" s="192">
        <v>195765</v>
      </c>
      <c r="O18" s="192">
        <v>196128</v>
      </c>
      <c r="P18" s="192">
        <v>196492</v>
      </c>
      <c r="Q18" s="192">
        <v>196855</v>
      </c>
      <c r="R18" s="192">
        <v>197217</v>
      </c>
      <c r="S18" s="192">
        <v>197581</v>
      </c>
      <c r="T18" s="192">
        <v>197944</v>
      </c>
      <c r="U18" s="192">
        <v>198307</v>
      </c>
      <c r="V18" s="191">
        <v>198671</v>
      </c>
      <c r="X18" s="197">
        <v>15</v>
      </c>
      <c r="Y18" s="192">
        <v>36933</v>
      </c>
      <c r="Z18" s="192">
        <f t="shared" si="1"/>
        <v>1107990</v>
      </c>
      <c r="AA18" s="192">
        <f t="shared" si="0"/>
        <v>1108000</v>
      </c>
      <c r="AD18" s="197">
        <v>15</v>
      </c>
      <c r="AE18" s="192">
        <v>682179</v>
      </c>
      <c r="AF18" s="192">
        <f t="shared" si="2"/>
        <v>20465370</v>
      </c>
      <c r="AG18" s="195"/>
      <c r="AI18" s="197">
        <v>15</v>
      </c>
      <c r="AJ18" s="192">
        <v>61933</v>
      </c>
      <c r="AK18" s="192">
        <v>654081</v>
      </c>
      <c r="AL18" s="192">
        <v>36933</v>
      </c>
      <c r="AM18" s="192">
        <v>679081</v>
      </c>
      <c r="AN18" s="192">
        <v>26933</v>
      </c>
      <c r="AO18" s="192">
        <v>545047</v>
      </c>
    </row>
    <row r="19" spans="1:46" ht="21" x14ac:dyDescent="0.2">
      <c r="A19" s="49"/>
      <c r="H19" s="49"/>
      <c r="I19" s="49"/>
      <c r="J19" s="197">
        <v>16</v>
      </c>
      <c r="K19" s="192">
        <v>199034</v>
      </c>
      <c r="L19" s="192">
        <v>199355</v>
      </c>
      <c r="M19" s="192">
        <v>199676</v>
      </c>
      <c r="N19" s="192">
        <v>199997</v>
      </c>
      <c r="O19" s="192">
        <v>200316</v>
      </c>
      <c r="P19" s="192">
        <v>200637</v>
      </c>
      <c r="Q19" s="192">
        <v>200958</v>
      </c>
      <c r="R19" s="192">
        <v>201279</v>
      </c>
      <c r="S19" s="192">
        <v>201599</v>
      </c>
      <c r="T19" s="192">
        <v>201920</v>
      </c>
      <c r="U19" s="192">
        <v>202240</v>
      </c>
      <c r="V19" s="191">
        <v>202561</v>
      </c>
      <c r="X19" s="197">
        <v>16</v>
      </c>
      <c r="Y19" s="192">
        <v>37333</v>
      </c>
      <c r="Z19" s="192">
        <f t="shared" si="1"/>
        <v>1119990</v>
      </c>
      <c r="AA19" s="192">
        <f t="shared" si="0"/>
        <v>1120000</v>
      </c>
      <c r="AD19" s="197">
        <v>16</v>
      </c>
      <c r="AE19" s="192">
        <v>688394</v>
      </c>
      <c r="AF19" s="192">
        <f t="shared" si="2"/>
        <v>20651820</v>
      </c>
      <c r="AG19" s="195"/>
      <c r="AI19" s="197">
        <v>16</v>
      </c>
      <c r="AJ19" s="192">
        <v>62333</v>
      </c>
      <c r="AK19" s="192">
        <v>659071</v>
      </c>
      <c r="AL19" s="192">
        <v>37333</v>
      </c>
      <c r="AM19" s="192">
        <v>684071</v>
      </c>
      <c r="AN19" s="192">
        <v>27333</v>
      </c>
      <c r="AO19" s="192">
        <v>550449</v>
      </c>
      <c r="AT19" s="50">
        <v>0</v>
      </c>
    </row>
    <row r="20" spans="1:46" ht="21" x14ac:dyDescent="0.2">
      <c r="A20" s="49"/>
      <c r="H20" s="49"/>
      <c r="I20" s="49"/>
      <c r="J20" s="197">
        <v>17</v>
      </c>
      <c r="K20" s="192">
        <v>202882</v>
      </c>
      <c r="L20" s="192">
        <v>203134</v>
      </c>
      <c r="M20" s="192">
        <v>203386</v>
      </c>
      <c r="N20" s="192">
        <v>203639</v>
      </c>
      <c r="O20" s="192">
        <v>203895</v>
      </c>
      <c r="P20" s="192">
        <v>204147</v>
      </c>
      <c r="Q20" s="192">
        <v>204399</v>
      </c>
      <c r="R20" s="192">
        <v>204652</v>
      </c>
      <c r="S20" s="192">
        <v>204904</v>
      </c>
      <c r="T20" s="192">
        <v>205156</v>
      </c>
      <c r="U20" s="192">
        <v>205412</v>
      </c>
      <c r="V20" s="191">
        <v>205661</v>
      </c>
      <c r="X20" s="197">
        <v>17</v>
      </c>
      <c r="Y20" s="192">
        <v>37733</v>
      </c>
      <c r="Z20" s="192">
        <f t="shared" si="1"/>
        <v>1131990</v>
      </c>
      <c r="AA20" s="192">
        <f t="shared" si="0"/>
        <v>1132000</v>
      </c>
      <c r="AD20" s="197">
        <v>17</v>
      </c>
      <c r="AE20" s="192">
        <v>694609</v>
      </c>
      <c r="AF20" s="192">
        <f t="shared" si="2"/>
        <v>20838270</v>
      </c>
      <c r="AG20" s="195"/>
      <c r="AI20" s="197">
        <v>17</v>
      </c>
      <c r="AJ20" s="192">
        <v>62733</v>
      </c>
      <c r="AK20" s="192">
        <v>665278</v>
      </c>
      <c r="AL20" s="192">
        <v>37733</v>
      </c>
      <c r="AM20" s="192">
        <v>690278</v>
      </c>
      <c r="AN20" s="192">
        <v>27733</v>
      </c>
      <c r="AO20" s="192">
        <v>555850</v>
      </c>
    </row>
    <row r="21" spans="1:46" ht="21" x14ac:dyDescent="0.2">
      <c r="A21" s="49"/>
      <c r="H21" s="49"/>
      <c r="I21" s="49"/>
      <c r="J21" s="197">
        <v>18</v>
      </c>
      <c r="K21" s="192">
        <v>205917</v>
      </c>
      <c r="L21" s="192">
        <v>206131</v>
      </c>
      <c r="M21" s="192">
        <v>206353</v>
      </c>
      <c r="N21" s="192">
        <v>206567</v>
      </c>
      <c r="O21" s="192">
        <v>206784</v>
      </c>
      <c r="P21" s="192">
        <v>207003</v>
      </c>
      <c r="Q21" s="192">
        <v>207220</v>
      </c>
      <c r="R21" s="192">
        <v>207434</v>
      </c>
      <c r="S21" s="192">
        <v>207652</v>
      </c>
      <c r="T21" s="192">
        <v>207870</v>
      </c>
      <c r="U21" s="192">
        <v>208084</v>
      </c>
      <c r="V21" s="191">
        <v>208307</v>
      </c>
      <c r="X21" s="197">
        <v>18</v>
      </c>
      <c r="Y21" s="192">
        <v>38133</v>
      </c>
      <c r="Z21" s="192">
        <f t="shared" si="1"/>
        <v>1143990</v>
      </c>
      <c r="AA21" s="192">
        <f t="shared" si="0"/>
        <v>1144000</v>
      </c>
      <c r="AD21" s="197">
        <v>18</v>
      </c>
      <c r="AE21" s="192">
        <v>702067</v>
      </c>
      <c r="AF21" s="192">
        <f t="shared" si="2"/>
        <v>21062010</v>
      </c>
      <c r="AG21" s="195"/>
      <c r="AI21" s="197">
        <v>18</v>
      </c>
      <c r="AJ21" s="192">
        <v>63133</v>
      </c>
      <c r="AK21" s="192">
        <v>671500</v>
      </c>
      <c r="AL21" s="192">
        <v>38133</v>
      </c>
      <c r="AM21" s="192">
        <v>696500</v>
      </c>
      <c r="AN21" s="192">
        <v>28133</v>
      </c>
      <c r="AO21" s="192">
        <v>562332</v>
      </c>
    </row>
    <row r="22" spans="1:46" ht="21" x14ac:dyDescent="0.2">
      <c r="A22" s="49"/>
      <c r="H22" s="49"/>
      <c r="I22" s="49"/>
      <c r="J22" s="197">
        <v>19</v>
      </c>
      <c r="K22" s="192">
        <v>208519</v>
      </c>
      <c r="L22" s="192">
        <v>208703</v>
      </c>
      <c r="M22" s="192">
        <v>208887</v>
      </c>
      <c r="N22" s="192">
        <v>209081</v>
      </c>
      <c r="O22" s="192">
        <v>209255</v>
      </c>
      <c r="P22" s="192">
        <v>209439</v>
      </c>
      <c r="Q22" s="192">
        <v>209622</v>
      </c>
      <c r="R22" s="192">
        <v>209803</v>
      </c>
      <c r="S22" s="192">
        <v>209986</v>
      </c>
      <c r="T22" s="192">
        <v>210170</v>
      </c>
      <c r="U22" s="192">
        <v>210363</v>
      </c>
      <c r="V22" s="191">
        <v>210542</v>
      </c>
      <c r="X22" s="197">
        <v>19</v>
      </c>
      <c r="Y22" s="192">
        <v>38533</v>
      </c>
      <c r="Z22" s="192">
        <f t="shared" si="1"/>
        <v>1155990</v>
      </c>
      <c r="AA22" s="192">
        <f t="shared" si="0"/>
        <v>1156000</v>
      </c>
      <c r="AD22" s="197">
        <v>19</v>
      </c>
      <c r="AE22" s="192">
        <v>709525</v>
      </c>
      <c r="AF22" s="192">
        <f t="shared" si="2"/>
        <v>21285750</v>
      </c>
      <c r="AG22" s="195"/>
      <c r="AI22" s="197">
        <v>19</v>
      </c>
      <c r="AJ22" s="192">
        <v>63533</v>
      </c>
      <c r="AK22" s="192">
        <v>678955</v>
      </c>
      <c r="AL22" s="192">
        <v>38533</v>
      </c>
      <c r="AM22" s="192">
        <v>703955</v>
      </c>
      <c r="AN22" s="192">
        <v>28533</v>
      </c>
      <c r="AO22" s="192">
        <v>568813</v>
      </c>
      <c r="AT22" s="205"/>
    </row>
    <row r="23" spans="1:46" ht="21" x14ac:dyDescent="0.2">
      <c r="A23" s="49"/>
      <c r="H23" s="49"/>
      <c r="I23" s="49"/>
      <c r="J23" s="197">
        <v>20</v>
      </c>
      <c r="K23" s="192">
        <v>210726</v>
      </c>
      <c r="L23" s="192">
        <v>210884</v>
      </c>
      <c r="M23" s="192">
        <v>211033</v>
      </c>
      <c r="N23" s="192">
        <v>211195</v>
      </c>
      <c r="O23" s="192">
        <v>211342</v>
      </c>
      <c r="P23" s="192">
        <v>211504</v>
      </c>
      <c r="Q23" s="192">
        <v>211662</v>
      </c>
      <c r="R23" s="192">
        <v>211820</v>
      </c>
      <c r="S23" s="192">
        <v>211969</v>
      </c>
      <c r="T23" s="192">
        <v>212128</v>
      </c>
      <c r="U23" s="192">
        <v>212286</v>
      </c>
      <c r="V23" s="191">
        <v>212444</v>
      </c>
      <c r="X23" s="197">
        <v>20</v>
      </c>
      <c r="Y23" s="192">
        <v>38933</v>
      </c>
      <c r="Z23" s="192">
        <f t="shared" si="1"/>
        <v>1167990</v>
      </c>
      <c r="AA23" s="192">
        <f t="shared" si="0"/>
        <v>1168000</v>
      </c>
      <c r="AD23" s="197">
        <v>20</v>
      </c>
      <c r="AE23" s="192">
        <v>718847</v>
      </c>
      <c r="AF23" s="192">
        <f t="shared" si="2"/>
        <v>21565410</v>
      </c>
      <c r="AG23" s="195"/>
      <c r="AI23" s="197">
        <v>20</v>
      </c>
      <c r="AJ23" s="192">
        <v>63933</v>
      </c>
      <c r="AK23" s="192">
        <v>686420</v>
      </c>
      <c r="AL23" s="192">
        <v>38932</v>
      </c>
      <c r="AM23" s="192">
        <v>711420</v>
      </c>
      <c r="AN23" s="192">
        <v>28933</v>
      </c>
      <c r="AO23" s="192">
        <v>576915</v>
      </c>
      <c r="AT23" s="205"/>
    </row>
    <row r="24" spans="1:46" ht="21" x14ac:dyDescent="0.2">
      <c r="A24" s="49"/>
      <c r="H24" s="49"/>
      <c r="I24" s="49"/>
      <c r="J24" s="197">
        <v>21</v>
      </c>
      <c r="K24" s="192">
        <v>212594</v>
      </c>
      <c r="L24" s="192">
        <v>212688</v>
      </c>
      <c r="M24" s="192">
        <v>212786</v>
      </c>
      <c r="N24" s="192">
        <v>212880</v>
      </c>
      <c r="O24" s="192">
        <v>212975</v>
      </c>
      <c r="P24" s="192">
        <v>213068</v>
      </c>
      <c r="Q24" s="192">
        <v>213162</v>
      </c>
      <c r="R24" s="192">
        <v>213252</v>
      </c>
      <c r="S24" s="192">
        <v>213346</v>
      </c>
      <c r="T24" s="192">
        <v>213448</v>
      </c>
      <c r="U24" s="192">
        <v>213552</v>
      </c>
      <c r="V24" s="191">
        <v>213658</v>
      </c>
      <c r="AT24" s="205"/>
    </row>
    <row r="25" spans="1:46" ht="24.75" customHeight="1" x14ac:dyDescent="0.2">
      <c r="A25" s="49"/>
      <c r="H25" s="49"/>
      <c r="I25" s="49"/>
      <c r="J25" s="197">
        <v>22</v>
      </c>
      <c r="K25" s="192">
        <v>213735</v>
      </c>
      <c r="L25" s="192">
        <v>213812</v>
      </c>
      <c r="M25" s="192">
        <v>213893</v>
      </c>
      <c r="N25" s="192">
        <v>213970</v>
      </c>
      <c r="O25" s="192">
        <v>214051</v>
      </c>
      <c r="P25" s="192">
        <v>214137</v>
      </c>
      <c r="Q25" s="192">
        <v>214214</v>
      </c>
      <c r="R25" s="192">
        <v>214295</v>
      </c>
      <c r="S25" s="192">
        <v>214376</v>
      </c>
      <c r="T25" s="192">
        <v>214458</v>
      </c>
      <c r="U25" s="192">
        <v>214543</v>
      </c>
      <c r="V25" s="191">
        <v>214628</v>
      </c>
      <c r="AI25" s="199" t="s">
        <v>157</v>
      </c>
      <c r="AJ25" s="200">
        <f>'جدول محاسبات'!D3</f>
        <v>1</v>
      </c>
      <c r="AK25" s="192">
        <f>VLOOKUP(AJ25,AI4:AM23,3,0)</f>
        <v>611809</v>
      </c>
      <c r="AL25" s="200">
        <f>'جدول محاسبات'!D3</f>
        <v>1</v>
      </c>
      <c r="AM25" s="192">
        <f>VLOOKUP(AL25,AI4:AM23,5,0)</f>
        <v>636809</v>
      </c>
      <c r="AN25" s="200">
        <f>'جدول محاسبات'!D3</f>
        <v>1</v>
      </c>
      <c r="AO25" s="192">
        <f>VLOOKUP(AN25,AI4:AO23,7,0)</f>
        <v>505627</v>
      </c>
      <c r="AT25" s="204"/>
    </row>
    <row r="26" spans="1:46" ht="25.5" customHeight="1" x14ac:dyDescent="0.2">
      <c r="A26" s="49"/>
      <c r="H26" s="49"/>
      <c r="I26" s="49"/>
      <c r="J26" s="197">
        <v>23</v>
      </c>
      <c r="K26" s="192">
        <v>214701</v>
      </c>
      <c r="L26" s="192">
        <v>214782</v>
      </c>
      <c r="M26" s="192">
        <v>214864</v>
      </c>
      <c r="N26" s="192">
        <v>214944</v>
      </c>
      <c r="O26" s="192">
        <v>215022</v>
      </c>
      <c r="P26" s="192">
        <v>215099</v>
      </c>
      <c r="Q26" s="192">
        <v>215180</v>
      </c>
      <c r="R26" s="192">
        <v>215261</v>
      </c>
      <c r="S26" s="192">
        <v>215342</v>
      </c>
      <c r="T26" s="192">
        <v>215424</v>
      </c>
      <c r="U26" s="192">
        <v>215505</v>
      </c>
      <c r="V26" s="191">
        <v>215586</v>
      </c>
      <c r="AI26" s="199" t="s">
        <v>142</v>
      </c>
      <c r="AJ26" s="200">
        <f>'جدول محاسبات'!D3</f>
        <v>1</v>
      </c>
      <c r="AK26" s="192">
        <f>VLOOKUP(AJ26,AI4:AM23,2,0)</f>
        <v>58333</v>
      </c>
      <c r="AL26" s="200">
        <f>'جدول محاسبات'!D3</f>
        <v>1</v>
      </c>
      <c r="AM26" s="192">
        <f>VLOOKUP(AL26,AI4:AM23,4,0)</f>
        <v>33333</v>
      </c>
      <c r="AN26" s="200">
        <f>'جدول محاسبات'!D3</f>
        <v>1</v>
      </c>
      <c r="AO26" s="192">
        <f>VLOOKUP(AN26,AI4:AO23,6,0)</f>
        <v>23333</v>
      </c>
      <c r="AT26" s="204"/>
    </row>
    <row r="27" spans="1:46" ht="21" x14ac:dyDescent="0.2">
      <c r="A27" s="49"/>
      <c r="H27" s="49"/>
      <c r="I27" s="49"/>
      <c r="J27" s="197">
        <v>24</v>
      </c>
      <c r="K27" s="192">
        <v>215676</v>
      </c>
      <c r="L27" s="192">
        <v>215774</v>
      </c>
      <c r="M27" s="192">
        <v>215873</v>
      </c>
      <c r="N27" s="192">
        <v>215967</v>
      </c>
      <c r="O27" s="192">
        <v>216065</v>
      </c>
      <c r="P27" s="192">
        <v>216163</v>
      </c>
      <c r="Q27" s="192">
        <v>216261</v>
      </c>
      <c r="R27" s="192">
        <v>216360</v>
      </c>
      <c r="S27" s="192">
        <v>216458</v>
      </c>
      <c r="T27" s="192">
        <v>216560</v>
      </c>
      <c r="U27" s="192">
        <v>216659</v>
      </c>
      <c r="V27" s="191">
        <v>216757</v>
      </c>
      <c r="AK27" s="50" t="s">
        <v>134</v>
      </c>
      <c r="AM27" s="50" t="s">
        <v>135</v>
      </c>
      <c r="AO27" s="50">
        <v>98</v>
      </c>
      <c r="AT27" s="204"/>
    </row>
    <row r="28" spans="1:46" ht="21" x14ac:dyDescent="0.2">
      <c r="A28" s="49"/>
      <c r="H28" s="49"/>
      <c r="I28" s="49"/>
      <c r="J28" s="197">
        <v>25</v>
      </c>
      <c r="K28" s="192">
        <v>216856</v>
      </c>
      <c r="L28" s="192">
        <v>216941</v>
      </c>
      <c r="M28" s="192">
        <v>217027</v>
      </c>
      <c r="N28" s="192">
        <v>217108</v>
      </c>
      <c r="O28" s="192">
        <v>217193</v>
      </c>
      <c r="P28" s="192">
        <v>217279</v>
      </c>
      <c r="Q28" s="192">
        <v>217356</v>
      </c>
      <c r="R28" s="192">
        <v>217441</v>
      </c>
      <c r="S28" s="192">
        <v>217523</v>
      </c>
      <c r="T28" s="192">
        <v>217608</v>
      </c>
      <c r="U28" s="192">
        <v>217693</v>
      </c>
      <c r="V28" s="191">
        <v>217779</v>
      </c>
      <c r="AK28" s="192"/>
      <c r="AO28" s="192">
        <f>IF('دستمزد 1400'!G8&gt;'جدول محاسبات'!AO26,'دستمزد 1400'!G8,AO26)</f>
        <v>23333</v>
      </c>
      <c r="AT28" s="204"/>
    </row>
    <row r="29" spans="1:46" ht="21" x14ac:dyDescent="0.2">
      <c r="A29" s="49"/>
      <c r="H29" s="49"/>
      <c r="I29" s="49"/>
      <c r="J29" s="197">
        <v>26</v>
      </c>
      <c r="K29" s="192">
        <v>217869</v>
      </c>
      <c r="L29" s="192">
        <v>217937</v>
      </c>
      <c r="M29" s="192">
        <v>218014</v>
      </c>
      <c r="N29" s="192">
        <v>218091</v>
      </c>
      <c r="O29" s="192">
        <v>218163</v>
      </c>
      <c r="P29" s="192">
        <v>218232</v>
      </c>
      <c r="Q29" s="192">
        <v>218309</v>
      </c>
      <c r="R29" s="192">
        <v>218386</v>
      </c>
      <c r="S29" s="192">
        <v>218459</v>
      </c>
      <c r="T29" s="192">
        <v>218531</v>
      </c>
      <c r="U29" s="192">
        <v>218604</v>
      </c>
      <c r="V29" s="191">
        <v>218676</v>
      </c>
      <c r="AI29" s="199" t="s">
        <v>166</v>
      </c>
      <c r="AJ29" s="192">
        <v>33333</v>
      </c>
      <c r="AT29" s="204"/>
    </row>
    <row r="30" spans="1:46" ht="21" x14ac:dyDescent="0.2">
      <c r="A30" s="49"/>
      <c r="H30" s="49"/>
      <c r="I30" s="49"/>
      <c r="J30" s="197">
        <v>27</v>
      </c>
      <c r="K30" s="192">
        <v>218745</v>
      </c>
      <c r="L30" s="192">
        <v>218810</v>
      </c>
      <c r="M30" s="192">
        <v>218865</v>
      </c>
      <c r="N30" s="192">
        <v>218925</v>
      </c>
      <c r="O30" s="192">
        <v>218984</v>
      </c>
      <c r="P30" s="192">
        <v>219040</v>
      </c>
      <c r="Q30" s="192">
        <v>219104</v>
      </c>
      <c r="R30" s="192">
        <v>219168</v>
      </c>
      <c r="S30" s="192">
        <v>219228</v>
      </c>
      <c r="T30" s="192">
        <v>219293</v>
      </c>
      <c r="U30" s="192">
        <v>219360</v>
      </c>
      <c r="V30" s="191">
        <v>219416</v>
      </c>
      <c r="AI30" s="199" t="s">
        <v>167</v>
      </c>
      <c r="AJ30" s="192">
        <v>636809</v>
      </c>
      <c r="AK30" s="50">
        <v>1910427</v>
      </c>
      <c r="AN30" s="60"/>
      <c r="AO30" s="60"/>
      <c r="AP30" s="60"/>
      <c r="AQ30" s="60"/>
      <c r="AR30" s="60"/>
      <c r="AT30" s="204"/>
    </row>
    <row r="31" spans="1:46" ht="21" customHeight="1" x14ac:dyDescent="0.2">
      <c r="A31" s="49"/>
      <c r="H31" s="67"/>
      <c r="I31" s="67"/>
      <c r="J31" s="197">
        <v>28</v>
      </c>
      <c r="K31" s="192">
        <v>219489</v>
      </c>
      <c r="L31" s="192">
        <v>219562</v>
      </c>
      <c r="M31" s="192">
        <v>219630</v>
      </c>
      <c r="N31" s="192">
        <v>219699</v>
      </c>
      <c r="O31" s="192">
        <v>219766</v>
      </c>
      <c r="P31" s="192">
        <v>219839</v>
      </c>
      <c r="Q31" s="192">
        <v>219903</v>
      </c>
      <c r="R31" s="192">
        <v>219976</v>
      </c>
      <c r="S31" s="192">
        <v>220045</v>
      </c>
      <c r="T31" s="192">
        <v>220105</v>
      </c>
      <c r="U31" s="192">
        <v>220182</v>
      </c>
      <c r="V31" s="191">
        <v>220254</v>
      </c>
      <c r="AN31" s="60"/>
      <c r="AO31" s="60"/>
      <c r="AP31" s="60"/>
      <c r="AQ31" s="60"/>
      <c r="AR31" s="60"/>
      <c r="AT31" s="204"/>
    </row>
    <row r="32" spans="1:46" ht="21" customHeight="1" x14ac:dyDescent="0.2">
      <c r="A32" s="49"/>
      <c r="H32" s="67"/>
      <c r="I32" s="67"/>
      <c r="J32" s="197">
        <v>29</v>
      </c>
      <c r="K32" s="192">
        <v>220301</v>
      </c>
      <c r="L32" s="192">
        <v>220369</v>
      </c>
      <c r="M32" s="192">
        <v>220433</v>
      </c>
      <c r="N32" s="192">
        <v>220493</v>
      </c>
      <c r="O32" s="192">
        <v>220562</v>
      </c>
      <c r="P32" s="192">
        <v>220625</v>
      </c>
      <c r="Q32" s="192">
        <v>220690</v>
      </c>
      <c r="R32" s="192">
        <v>220750</v>
      </c>
      <c r="S32" s="192">
        <v>220822</v>
      </c>
      <c r="T32" s="192">
        <v>220891</v>
      </c>
      <c r="U32" s="192">
        <v>220959</v>
      </c>
      <c r="V32" s="191">
        <v>221028</v>
      </c>
      <c r="AI32" s="199" t="s">
        <v>168</v>
      </c>
      <c r="AJ32" s="192">
        <v>46666</v>
      </c>
      <c r="AN32" s="60"/>
      <c r="AO32" s="60"/>
      <c r="AP32" s="60"/>
      <c r="AQ32" s="60"/>
      <c r="AR32" s="60"/>
      <c r="AT32"/>
    </row>
    <row r="33" spans="1:54" ht="21" customHeight="1" x14ac:dyDescent="0.2">
      <c r="A33" s="66"/>
      <c r="H33" s="67"/>
      <c r="I33" s="67"/>
      <c r="J33" s="197">
        <v>30</v>
      </c>
      <c r="K33" s="192">
        <v>221105</v>
      </c>
      <c r="L33" s="192">
        <v>221177</v>
      </c>
      <c r="M33" s="192">
        <v>221255</v>
      </c>
      <c r="N33" s="192">
        <v>221327</v>
      </c>
      <c r="O33" s="192">
        <v>221395</v>
      </c>
      <c r="P33" s="192">
        <v>221468</v>
      </c>
      <c r="Q33" s="192">
        <v>221541</v>
      </c>
      <c r="R33" s="192">
        <v>221618</v>
      </c>
      <c r="S33" s="192">
        <v>221686</v>
      </c>
      <c r="T33" s="192">
        <v>221755</v>
      </c>
      <c r="U33" s="192">
        <v>221832</v>
      </c>
      <c r="V33" s="191">
        <v>221904</v>
      </c>
      <c r="AI33" s="199" t="s">
        <v>169</v>
      </c>
      <c r="AJ33" s="192">
        <v>885165</v>
      </c>
      <c r="AK33" s="50">
        <v>2655495</v>
      </c>
      <c r="AN33" s="60"/>
      <c r="AO33" s="60"/>
      <c r="AP33" s="60"/>
      <c r="AQ33" s="60"/>
      <c r="AR33" s="60"/>
      <c r="AT33"/>
    </row>
    <row r="34" spans="1:54" ht="21" customHeight="1" x14ac:dyDescent="0.2">
      <c r="A34" s="66"/>
      <c r="H34" s="67"/>
      <c r="I34" s="67"/>
      <c r="J34" s="106"/>
      <c r="AN34" s="60"/>
      <c r="AO34" s="60"/>
      <c r="AP34" s="60"/>
      <c r="AQ34" s="60"/>
      <c r="AR34" s="60"/>
      <c r="AT34" s="206"/>
    </row>
    <row r="35" spans="1:54" ht="21" customHeight="1" x14ac:dyDescent="0.2">
      <c r="A35" s="66"/>
      <c r="H35" s="67"/>
      <c r="I35" s="67"/>
      <c r="J35" s="67"/>
      <c r="AI35" s="227" t="s">
        <v>100</v>
      </c>
      <c r="AJ35" s="192">
        <v>26</v>
      </c>
      <c r="AN35" s="60"/>
      <c r="AO35" s="60"/>
      <c r="AP35" s="60"/>
      <c r="AQ35" s="60"/>
      <c r="AR35" s="60"/>
    </row>
    <row r="36" spans="1:54" ht="21" customHeight="1" x14ac:dyDescent="0.2">
      <c r="A36" s="66"/>
      <c r="H36" s="67"/>
      <c r="I36" s="67"/>
      <c r="J36" s="106"/>
      <c r="V36" s="194"/>
      <c r="W36" s="195"/>
      <c r="X36" s="195"/>
      <c r="Y36" s="195"/>
      <c r="Z36" s="195"/>
      <c r="AA36" s="195"/>
      <c r="AB36" s="195"/>
      <c r="AC36" s="195"/>
      <c r="AD36" s="195"/>
      <c r="AE36" s="195"/>
      <c r="AF36" s="195"/>
      <c r="AG36" s="195"/>
      <c r="AH36" s="195"/>
      <c r="AI36" s="227" t="s">
        <v>170</v>
      </c>
      <c r="AJ36" s="192">
        <v>82785</v>
      </c>
      <c r="AK36" s="195"/>
      <c r="AL36" s="195"/>
      <c r="AM36" s="195"/>
      <c r="AN36" s="195"/>
      <c r="AO36" s="195"/>
      <c r="AP36" s="195"/>
      <c r="AQ36" s="195"/>
      <c r="AR36" s="195"/>
      <c r="AS36" s="195"/>
      <c r="AT36" s="195"/>
      <c r="AU36" s="195"/>
      <c r="AV36" s="195"/>
      <c r="AW36" s="195"/>
      <c r="AX36" s="195"/>
      <c r="AY36" s="195"/>
      <c r="AZ36" s="195"/>
      <c r="BA36" s="195"/>
      <c r="BB36" s="195"/>
    </row>
    <row r="37" spans="1:54" ht="27" customHeight="1" x14ac:dyDescent="0.2">
      <c r="A37" s="66"/>
      <c r="H37" s="279"/>
      <c r="I37" s="279"/>
      <c r="J37" s="279"/>
      <c r="V37" s="194"/>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row>
    <row r="38" spans="1:54" ht="21.75" customHeight="1" x14ac:dyDescent="0.2">
      <c r="A38" s="66"/>
      <c r="H38" s="111"/>
      <c r="I38" s="65"/>
      <c r="J38" s="49"/>
      <c r="V38" s="194"/>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row>
    <row r="39" spans="1:54" ht="21" x14ac:dyDescent="0.2">
      <c r="A39" s="49"/>
      <c r="H39" s="111"/>
      <c r="I39" s="67"/>
      <c r="J39" s="49"/>
      <c r="V39" s="194"/>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row>
    <row r="40" spans="1:54" ht="21" x14ac:dyDescent="0.2">
      <c r="A40" s="49"/>
      <c r="H40" s="49"/>
      <c r="I40" s="49"/>
      <c r="J40" s="49"/>
      <c r="V40" s="194"/>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row>
    <row r="41" spans="1:54" ht="21" x14ac:dyDescent="0.2">
      <c r="A41" s="49"/>
      <c r="H41" s="49"/>
      <c r="I41" s="49"/>
      <c r="J41" s="49"/>
      <c r="V41" s="194"/>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row>
    <row r="42" spans="1:54" ht="21" x14ac:dyDescent="0.2">
      <c r="A42" s="49"/>
      <c r="H42" s="49"/>
      <c r="I42" s="49"/>
      <c r="J42" s="49"/>
      <c r="V42" s="194"/>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row>
    <row r="43" spans="1:54" ht="21" x14ac:dyDescent="0.2">
      <c r="A43" s="49"/>
      <c r="H43" s="49"/>
      <c r="I43" s="49"/>
      <c r="J43" s="49"/>
      <c r="V43" s="194"/>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row>
    <row r="44" spans="1:54" ht="21" x14ac:dyDescent="0.2">
      <c r="A44" s="49"/>
      <c r="H44" s="49"/>
      <c r="I44" s="49"/>
      <c r="J44" s="49"/>
      <c r="V44" s="194"/>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row>
    <row r="45" spans="1:54" ht="21" x14ac:dyDescent="0.2">
      <c r="A45" s="49"/>
      <c r="H45" s="49"/>
      <c r="I45" s="49"/>
      <c r="J45" s="49"/>
      <c r="V45" s="194"/>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row>
    <row r="46" spans="1:54" ht="21" x14ac:dyDescent="0.2">
      <c r="A46" s="49"/>
      <c r="H46" s="49"/>
      <c r="I46" s="49"/>
      <c r="J46" s="49"/>
      <c r="V46" s="194"/>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row>
    <row r="47" spans="1:54" ht="21" x14ac:dyDescent="0.2">
      <c r="A47" s="49"/>
      <c r="H47" s="49"/>
      <c r="I47" s="49"/>
      <c r="J47" s="49"/>
      <c r="V47" s="194"/>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row>
    <row r="48" spans="1:54" ht="21" x14ac:dyDescent="0.2">
      <c r="A48" s="49"/>
      <c r="H48" s="49"/>
      <c r="I48" s="49"/>
      <c r="J48" s="49"/>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row>
    <row r="49" spans="1:10" x14ac:dyDescent="0.2">
      <c r="A49" s="49"/>
      <c r="H49" s="49"/>
      <c r="I49" s="49"/>
      <c r="J49" s="49"/>
    </row>
    <row r="50" spans="1:10" x14ac:dyDescent="0.2">
      <c r="A50" s="49"/>
      <c r="H50" s="49"/>
      <c r="I50" s="49"/>
      <c r="J50" s="49"/>
    </row>
    <row r="51" spans="1:10" x14ac:dyDescent="0.2">
      <c r="A51" s="49"/>
      <c r="H51" s="49"/>
      <c r="I51" s="49"/>
      <c r="J51" s="49"/>
    </row>
    <row r="52" spans="1:10" x14ac:dyDescent="0.2">
      <c r="A52" s="49"/>
      <c r="H52" s="49"/>
      <c r="I52" s="49"/>
      <c r="J52" s="49"/>
    </row>
    <row r="53" spans="1:10" x14ac:dyDescent="0.2">
      <c r="A53" s="49"/>
      <c r="H53" s="49"/>
      <c r="I53" s="49"/>
      <c r="J53" s="49"/>
    </row>
    <row r="54" spans="1:10" x14ac:dyDescent="0.2">
      <c r="A54" s="49"/>
      <c r="H54" s="49"/>
      <c r="I54" s="49"/>
      <c r="J54" s="49"/>
    </row>
    <row r="55" spans="1:10" x14ac:dyDescent="0.2">
      <c r="A55" s="49"/>
      <c r="H55" s="49"/>
      <c r="I55" s="49"/>
      <c r="J55" s="49"/>
    </row>
    <row r="56" spans="1:10" x14ac:dyDescent="0.2">
      <c r="A56" s="49"/>
      <c r="H56" s="49"/>
      <c r="I56" s="49"/>
      <c r="J56" s="49"/>
    </row>
    <row r="57" spans="1:10" x14ac:dyDescent="0.2">
      <c r="A57" s="49"/>
      <c r="H57" s="49"/>
      <c r="I57" s="49"/>
      <c r="J57" s="49"/>
    </row>
    <row r="58" spans="1:10" x14ac:dyDescent="0.2">
      <c r="A58" s="49"/>
      <c r="H58" s="49"/>
      <c r="I58" s="49"/>
      <c r="J58" s="49"/>
    </row>
    <row r="59" spans="1:10" x14ac:dyDescent="0.2">
      <c r="A59" s="49"/>
      <c r="H59" s="49"/>
      <c r="I59" s="49"/>
      <c r="J59" s="49"/>
    </row>
    <row r="60" spans="1:10" x14ac:dyDescent="0.2">
      <c r="A60" s="49"/>
      <c r="H60" s="49"/>
      <c r="I60" s="49"/>
      <c r="J60" s="49"/>
    </row>
    <row r="61" spans="1:10" x14ac:dyDescent="0.2">
      <c r="A61" s="49"/>
      <c r="H61" s="49"/>
      <c r="I61" s="49"/>
      <c r="J61" s="49"/>
    </row>
    <row r="62" spans="1:10" x14ac:dyDescent="0.2">
      <c r="A62" s="49"/>
      <c r="H62" s="49"/>
      <c r="I62" s="49"/>
      <c r="J62" s="49"/>
    </row>
    <row r="63" spans="1:10" x14ac:dyDescent="0.2">
      <c r="A63" s="49"/>
      <c r="H63" s="49"/>
      <c r="I63" s="49"/>
      <c r="J63" s="49"/>
    </row>
    <row r="64" spans="1:10" x14ac:dyDescent="0.2">
      <c r="A64" s="49"/>
      <c r="H64" s="49"/>
      <c r="I64" s="49"/>
      <c r="J64" s="49"/>
    </row>
    <row r="65" spans="1:10" x14ac:dyDescent="0.2">
      <c r="A65" s="49"/>
      <c r="B65" s="49"/>
      <c r="C65" s="49"/>
      <c r="D65" s="49"/>
      <c r="E65" s="49"/>
      <c r="F65" s="49"/>
      <c r="G65" s="49"/>
      <c r="H65" s="49"/>
      <c r="I65" s="49"/>
      <c r="J65" s="49"/>
    </row>
    <row r="66" spans="1:10" x14ac:dyDescent="0.2">
      <c r="A66" s="49"/>
      <c r="B66" s="49"/>
      <c r="C66" s="49"/>
      <c r="D66" s="49"/>
      <c r="E66" s="49"/>
      <c r="F66" s="49"/>
      <c r="G66" s="49"/>
      <c r="H66" s="49"/>
      <c r="I66" s="49"/>
      <c r="J66" s="49"/>
    </row>
    <row r="67" spans="1:10" x14ac:dyDescent="0.2">
      <c r="A67" s="49"/>
      <c r="B67" s="49"/>
      <c r="C67" s="49"/>
      <c r="D67" s="49"/>
      <c r="E67" s="49"/>
      <c r="F67" s="49"/>
      <c r="G67" s="49"/>
      <c r="H67" s="49"/>
      <c r="I67" s="49"/>
      <c r="J67" s="49"/>
    </row>
    <row r="68" spans="1:10" x14ac:dyDescent="0.2">
      <c r="A68" s="49"/>
      <c r="B68" s="49"/>
      <c r="C68" s="49"/>
      <c r="D68" s="49"/>
      <c r="E68" s="49"/>
      <c r="F68" s="49"/>
      <c r="G68" s="49"/>
      <c r="H68" s="49"/>
      <c r="I68" s="49"/>
      <c r="J68" s="49"/>
    </row>
    <row r="69" spans="1:10" x14ac:dyDescent="0.2">
      <c r="A69" s="49"/>
      <c r="B69" s="49"/>
      <c r="C69" s="49"/>
      <c r="D69" s="49"/>
      <c r="E69" s="49"/>
      <c r="F69" s="49"/>
      <c r="G69" s="49"/>
      <c r="H69" s="49"/>
      <c r="I69" s="49"/>
      <c r="J69" s="49"/>
    </row>
    <row r="70" spans="1:10" x14ac:dyDescent="0.2">
      <c r="A70" s="49"/>
      <c r="B70" s="49"/>
      <c r="C70" s="49"/>
      <c r="D70" s="49"/>
      <c r="E70" s="49"/>
      <c r="F70" s="49"/>
      <c r="G70" s="49"/>
      <c r="H70" s="49"/>
      <c r="I70" s="49"/>
      <c r="J70" s="49"/>
    </row>
    <row r="71" spans="1:10" x14ac:dyDescent="0.2">
      <c r="A71" s="49"/>
      <c r="B71" s="49"/>
      <c r="C71" s="49"/>
      <c r="D71" s="49"/>
      <c r="E71" s="49"/>
      <c r="F71" s="49"/>
      <c r="G71" s="49"/>
      <c r="H71" s="49"/>
      <c r="I71" s="49"/>
      <c r="J71" s="49"/>
    </row>
    <row r="72" spans="1:10" x14ac:dyDescent="0.2">
      <c r="A72" s="49"/>
      <c r="B72" s="49"/>
      <c r="C72" s="49"/>
      <c r="D72" s="49"/>
      <c r="E72" s="49"/>
      <c r="F72" s="49"/>
      <c r="G72" s="49"/>
      <c r="H72" s="49"/>
      <c r="I72" s="49"/>
      <c r="J72" s="49"/>
    </row>
    <row r="73" spans="1:10" x14ac:dyDescent="0.2">
      <c r="A73" s="49"/>
      <c r="B73" s="49"/>
      <c r="C73" s="49"/>
      <c r="D73" s="49"/>
      <c r="E73" s="49"/>
      <c r="F73" s="49"/>
      <c r="G73" s="49"/>
      <c r="H73" s="49"/>
      <c r="I73" s="49"/>
      <c r="J73" s="49"/>
    </row>
    <row r="74" spans="1:10" x14ac:dyDescent="0.2">
      <c r="A74" s="49"/>
      <c r="B74" s="49"/>
      <c r="C74" s="49"/>
      <c r="D74" s="49"/>
      <c r="E74" s="49"/>
      <c r="F74" s="49"/>
      <c r="G74" s="49"/>
      <c r="H74" s="49"/>
      <c r="I74" s="49"/>
      <c r="J74" s="49"/>
    </row>
    <row r="75" spans="1:10" x14ac:dyDescent="0.2">
      <c r="A75" s="49"/>
      <c r="B75" s="49"/>
      <c r="C75" s="49"/>
      <c r="D75" s="49"/>
      <c r="E75" s="49"/>
      <c r="F75" s="49"/>
      <c r="G75" s="49"/>
      <c r="H75" s="49"/>
      <c r="I75" s="49"/>
      <c r="J75" s="49"/>
    </row>
    <row r="76" spans="1:10" x14ac:dyDescent="0.2">
      <c r="A76" s="49"/>
      <c r="B76" s="49"/>
      <c r="C76" s="49"/>
      <c r="D76" s="49"/>
      <c r="E76" s="49"/>
      <c r="F76" s="49"/>
      <c r="G76" s="49"/>
      <c r="H76" s="49"/>
      <c r="I76" s="49"/>
      <c r="J76" s="49"/>
    </row>
    <row r="77" spans="1:10" x14ac:dyDescent="0.2">
      <c r="A77" s="49"/>
      <c r="B77" s="49"/>
      <c r="C77" s="49"/>
      <c r="D77" s="49"/>
      <c r="E77" s="49"/>
      <c r="F77" s="49"/>
      <c r="G77" s="49"/>
      <c r="H77" s="49"/>
      <c r="I77" s="49"/>
      <c r="J77" s="49"/>
    </row>
    <row r="78" spans="1:10" x14ac:dyDescent="0.2">
      <c r="A78" s="49"/>
      <c r="B78" s="49"/>
      <c r="C78" s="49"/>
      <c r="D78" s="49"/>
      <c r="E78" s="49"/>
      <c r="F78" s="49"/>
      <c r="G78" s="49"/>
      <c r="H78" s="49"/>
      <c r="I78" s="49"/>
      <c r="J78" s="49"/>
    </row>
    <row r="79" spans="1:10" x14ac:dyDescent="0.2">
      <c r="A79" s="49"/>
      <c r="B79" s="49"/>
      <c r="C79" s="49"/>
      <c r="D79" s="49"/>
      <c r="E79" s="49"/>
      <c r="F79" s="49"/>
      <c r="G79" s="49"/>
      <c r="H79" s="49"/>
      <c r="I79" s="49"/>
      <c r="J79" s="49"/>
    </row>
    <row r="80" spans="1:10" x14ac:dyDescent="0.2">
      <c r="A80" s="49"/>
      <c r="B80" s="49"/>
      <c r="C80" s="49"/>
      <c r="D80" s="49"/>
      <c r="E80" s="49"/>
      <c r="F80" s="49"/>
      <c r="G80" s="49"/>
      <c r="H80" s="49"/>
      <c r="I80" s="49"/>
      <c r="J80" s="49"/>
    </row>
    <row r="81" spans="1:10" x14ac:dyDescent="0.2">
      <c r="A81" s="49"/>
      <c r="B81" s="49"/>
      <c r="C81" s="49"/>
      <c r="D81" s="49"/>
      <c r="E81" s="49"/>
      <c r="F81" s="49"/>
      <c r="G81" s="49"/>
      <c r="H81" s="49"/>
      <c r="I81" s="49"/>
      <c r="J81" s="49"/>
    </row>
    <row r="82" spans="1:10" x14ac:dyDescent="0.2">
      <c r="A82" s="49"/>
      <c r="B82" s="49"/>
      <c r="C82" s="49"/>
      <c r="D82" s="49"/>
      <c r="E82" s="49"/>
      <c r="F82" s="49"/>
      <c r="G82" s="49"/>
      <c r="H82" s="49"/>
      <c r="I82" s="49"/>
      <c r="J82" s="49"/>
    </row>
    <row r="83" spans="1:10" x14ac:dyDescent="0.2">
      <c r="A83" s="49"/>
      <c r="B83" s="49"/>
      <c r="C83" s="49"/>
      <c r="D83" s="49"/>
      <c r="E83" s="49"/>
      <c r="F83" s="49"/>
      <c r="G83" s="49"/>
      <c r="H83" s="49"/>
      <c r="I83" s="49"/>
      <c r="J83" s="49"/>
    </row>
    <row r="84" spans="1:10" x14ac:dyDescent="0.2">
      <c r="A84" s="49"/>
      <c r="B84" s="49"/>
      <c r="C84" s="49"/>
      <c r="D84" s="49"/>
      <c r="E84" s="49"/>
      <c r="F84" s="49"/>
      <c r="G84" s="49"/>
      <c r="H84" s="49"/>
      <c r="I84" s="49"/>
      <c r="J84" s="49"/>
    </row>
    <row r="85" spans="1:10" x14ac:dyDescent="0.2">
      <c r="A85" s="49"/>
      <c r="B85" s="49"/>
      <c r="C85" s="49"/>
      <c r="D85" s="49"/>
      <c r="E85" s="49"/>
      <c r="F85" s="49"/>
      <c r="G85" s="49"/>
      <c r="H85" s="49"/>
      <c r="I85" s="49"/>
      <c r="J85" s="49"/>
    </row>
    <row r="86" spans="1:10" x14ac:dyDescent="0.2">
      <c r="A86" s="49"/>
      <c r="B86" s="49"/>
      <c r="C86" s="49"/>
      <c r="D86" s="49"/>
      <c r="E86" s="49"/>
      <c r="F86" s="49"/>
      <c r="G86" s="49"/>
      <c r="H86" s="49"/>
      <c r="I86" s="49"/>
      <c r="J86" s="49"/>
    </row>
    <row r="87" spans="1:10" x14ac:dyDescent="0.2">
      <c r="A87" s="49"/>
      <c r="B87" s="49"/>
      <c r="C87" s="49"/>
      <c r="D87" s="49"/>
      <c r="E87" s="49"/>
      <c r="F87" s="49"/>
      <c r="G87" s="49"/>
      <c r="H87" s="49"/>
      <c r="I87" s="49"/>
      <c r="J87" s="49"/>
    </row>
    <row r="88" spans="1:10" x14ac:dyDescent="0.2">
      <c r="A88" s="49"/>
      <c r="B88" s="49"/>
      <c r="C88" s="49"/>
      <c r="D88" s="49"/>
      <c r="E88" s="49"/>
      <c r="F88" s="49"/>
      <c r="G88" s="49"/>
      <c r="H88" s="49"/>
      <c r="I88" s="49"/>
      <c r="J88" s="49"/>
    </row>
    <row r="89" spans="1:10" x14ac:dyDescent="0.2">
      <c r="A89" s="49"/>
      <c r="B89" s="49"/>
      <c r="C89" s="49"/>
      <c r="D89" s="49"/>
      <c r="E89" s="49"/>
      <c r="F89" s="49"/>
      <c r="G89" s="49"/>
      <c r="H89" s="49"/>
      <c r="I89" s="49"/>
      <c r="J89" s="49"/>
    </row>
    <row r="90" spans="1:10" x14ac:dyDescent="0.2">
      <c r="A90" s="49"/>
      <c r="B90" s="49"/>
      <c r="C90" s="49"/>
      <c r="D90" s="49"/>
      <c r="E90" s="49"/>
      <c r="F90" s="49"/>
      <c r="G90" s="49"/>
      <c r="H90" s="49"/>
      <c r="I90" s="49"/>
      <c r="J90" s="49"/>
    </row>
    <row r="91" spans="1:10" x14ac:dyDescent="0.2">
      <c r="A91" s="49"/>
      <c r="B91" s="49"/>
      <c r="C91" s="49"/>
      <c r="D91" s="49"/>
      <c r="E91" s="49"/>
      <c r="F91" s="49"/>
      <c r="G91" s="49"/>
      <c r="H91" s="49"/>
      <c r="I91" s="49"/>
      <c r="J91" s="49"/>
    </row>
    <row r="92" spans="1:10" x14ac:dyDescent="0.2">
      <c r="A92" s="49"/>
      <c r="B92" s="49"/>
      <c r="C92" s="49"/>
      <c r="D92" s="49"/>
      <c r="E92" s="49"/>
      <c r="F92" s="49"/>
      <c r="G92" s="49"/>
      <c r="H92" s="49"/>
      <c r="I92" s="49"/>
      <c r="J92" s="49"/>
    </row>
    <row r="93" spans="1:10" x14ac:dyDescent="0.2">
      <c r="A93" s="49"/>
      <c r="B93" s="49"/>
      <c r="C93" s="49"/>
      <c r="D93" s="49"/>
      <c r="E93" s="49"/>
      <c r="F93" s="49"/>
      <c r="G93" s="49"/>
      <c r="H93" s="49"/>
      <c r="I93" s="49"/>
      <c r="J93" s="49"/>
    </row>
    <row r="94" spans="1:10" x14ac:dyDescent="0.2">
      <c r="A94" s="49"/>
      <c r="B94" s="49"/>
      <c r="C94" s="49"/>
      <c r="D94" s="49"/>
      <c r="E94" s="49"/>
      <c r="F94" s="49"/>
      <c r="G94" s="49"/>
      <c r="H94" s="49"/>
      <c r="I94" s="49"/>
      <c r="J94" s="49"/>
    </row>
    <row r="95" spans="1:10" x14ac:dyDescent="0.2">
      <c r="A95" s="49"/>
      <c r="B95" s="49"/>
      <c r="C95" s="49"/>
      <c r="D95" s="49"/>
      <c r="E95" s="49"/>
      <c r="F95" s="49"/>
      <c r="G95" s="49"/>
      <c r="H95" s="49"/>
      <c r="I95" s="49"/>
      <c r="J95" s="49"/>
    </row>
    <row r="96" spans="1:10" x14ac:dyDescent="0.2">
      <c r="A96" s="49"/>
      <c r="B96" s="49"/>
      <c r="C96" s="49"/>
      <c r="D96" s="49"/>
      <c r="E96" s="49"/>
      <c r="F96" s="49"/>
      <c r="G96" s="49"/>
      <c r="H96" s="49"/>
      <c r="I96" s="49"/>
      <c r="J96" s="49"/>
    </row>
    <row r="97" spans="1:10" x14ac:dyDescent="0.2">
      <c r="A97" s="49"/>
      <c r="B97" s="49"/>
      <c r="C97" s="49"/>
      <c r="D97" s="49"/>
      <c r="E97" s="49"/>
      <c r="F97" s="49"/>
      <c r="G97" s="49"/>
      <c r="H97" s="49"/>
      <c r="I97" s="49"/>
      <c r="J97" s="49"/>
    </row>
    <row r="98" spans="1:10" x14ac:dyDescent="0.2">
      <c r="A98" s="49"/>
      <c r="B98" s="49"/>
      <c r="C98" s="49"/>
      <c r="D98" s="49"/>
      <c r="E98" s="49"/>
      <c r="F98" s="49"/>
      <c r="G98" s="49"/>
      <c r="H98" s="49"/>
      <c r="I98" s="49"/>
      <c r="J98" s="49"/>
    </row>
    <row r="99" spans="1:10" x14ac:dyDescent="0.2">
      <c r="A99" s="49"/>
      <c r="B99" s="49"/>
      <c r="C99" s="49"/>
      <c r="D99" s="49"/>
      <c r="E99" s="49"/>
      <c r="F99" s="49"/>
      <c r="G99" s="49"/>
      <c r="H99" s="49"/>
      <c r="I99" s="49"/>
      <c r="J99" s="49"/>
    </row>
    <row r="100" spans="1:10" x14ac:dyDescent="0.2">
      <c r="A100" s="49"/>
      <c r="B100" s="49"/>
      <c r="C100" s="49"/>
      <c r="D100" s="49"/>
      <c r="E100" s="49"/>
      <c r="F100" s="49"/>
      <c r="G100" s="49"/>
      <c r="H100" s="49"/>
      <c r="I100" s="49"/>
      <c r="J100" s="49"/>
    </row>
    <row r="101" spans="1:10" x14ac:dyDescent="0.2">
      <c r="A101" s="49"/>
      <c r="B101" s="49"/>
      <c r="C101" s="49"/>
      <c r="D101" s="49"/>
      <c r="E101" s="49"/>
      <c r="F101" s="49"/>
      <c r="G101" s="49"/>
      <c r="H101" s="49"/>
      <c r="I101" s="49"/>
      <c r="J101" s="49"/>
    </row>
    <row r="102" spans="1:10" x14ac:dyDescent="0.2">
      <c r="A102" s="49"/>
      <c r="B102" s="49"/>
      <c r="C102" s="49"/>
      <c r="D102" s="49"/>
      <c r="E102" s="49"/>
      <c r="F102" s="49"/>
      <c r="G102" s="49"/>
      <c r="H102" s="49"/>
      <c r="I102" s="49"/>
      <c r="J102" s="49"/>
    </row>
    <row r="103" spans="1:10" x14ac:dyDescent="0.2">
      <c r="A103" s="49"/>
      <c r="B103" s="49"/>
      <c r="C103" s="49"/>
      <c r="D103" s="49"/>
      <c r="E103" s="49"/>
      <c r="F103" s="49"/>
      <c r="G103" s="49"/>
      <c r="H103" s="49"/>
      <c r="I103" s="49"/>
      <c r="J103" s="49"/>
    </row>
    <row r="104" spans="1:10" x14ac:dyDescent="0.2">
      <c r="A104" s="49"/>
      <c r="B104" s="49"/>
      <c r="C104" s="49"/>
      <c r="D104" s="49"/>
      <c r="E104" s="49"/>
      <c r="F104" s="49"/>
      <c r="G104" s="49"/>
      <c r="H104" s="49"/>
      <c r="I104" s="49"/>
      <c r="J104" s="49"/>
    </row>
    <row r="105" spans="1:10" x14ac:dyDescent="0.2">
      <c r="A105" s="49"/>
      <c r="B105" s="49"/>
      <c r="C105" s="49"/>
      <c r="D105" s="49"/>
      <c r="E105" s="49"/>
      <c r="F105" s="49"/>
      <c r="G105" s="49"/>
      <c r="H105" s="49"/>
      <c r="I105" s="49"/>
      <c r="J105" s="49"/>
    </row>
    <row r="106" spans="1:10" x14ac:dyDescent="0.2">
      <c r="A106" s="49"/>
      <c r="B106" s="49"/>
      <c r="C106" s="49"/>
      <c r="D106" s="49"/>
      <c r="E106" s="49"/>
      <c r="F106" s="49"/>
      <c r="G106" s="49"/>
      <c r="H106" s="49"/>
      <c r="I106" s="49"/>
      <c r="J106" s="49"/>
    </row>
    <row r="107" spans="1:10" x14ac:dyDescent="0.2">
      <c r="A107" s="49"/>
      <c r="B107" s="49"/>
      <c r="C107" s="49"/>
      <c r="D107" s="49"/>
      <c r="E107" s="49"/>
      <c r="F107" s="49"/>
      <c r="G107" s="49"/>
      <c r="H107" s="49"/>
      <c r="I107" s="49"/>
      <c r="J107" s="49"/>
    </row>
    <row r="108" spans="1:10" x14ac:dyDescent="0.2">
      <c r="A108" s="49"/>
      <c r="B108" s="49"/>
      <c r="C108" s="49"/>
      <c r="D108" s="49"/>
      <c r="E108" s="49"/>
      <c r="F108" s="49"/>
      <c r="G108" s="49"/>
      <c r="H108" s="49"/>
      <c r="I108" s="49"/>
      <c r="J108" s="49"/>
    </row>
    <row r="109" spans="1:10" x14ac:dyDescent="0.2">
      <c r="A109" s="49"/>
      <c r="B109" s="49"/>
      <c r="C109" s="49"/>
      <c r="D109" s="49"/>
      <c r="E109" s="49"/>
      <c r="F109" s="49"/>
      <c r="G109" s="49"/>
      <c r="H109" s="49"/>
      <c r="I109" s="49"/>
      <c r="J109" s="49"/>
    </row>
    <row r="110" spans="1:10" x14ac:dyDescent="0.2">
      <c r="A110" s="49"/>
      <c r="B110" s="49"/>
      <c r="C110" s="49"/>
      <c r="D110" s="49"/>
      <c r="E110" s="49"/>
      <c r="F110" s="49"/>
      <c r="G110" s="49"/>
      <c r="H110" s="49"/>
      <c r="I110" s="49"/>
      <c r="J110" s="49"/>
    </row>
    <row r="111" spans="1:10" x14ac:dyDescent="0.2">
      <c r="A111" s="49"/>
      <c r="B111" s="49"/>
      <c r="C111" s="49"/>
      <c r="D111" s="49"/>
      <c r="E111" s="49"/>
      <c r="F111" s="49"/>
      <c r="G111" s="49"/>
      <c r="H111" s="49"/>
      <c r="I111" s="49"/>
      <c r="J111" s="49"/>
    </row>
    <row r="112" spans="1:10" x14ac:dyDescent="0.2">
      <c r="A112" s="49"/>
      <c r="B112" s="49"/>
      <c r="C112" s="49"/>
      <c r="D112" s="49"/>
      <c r="E112" s="49"/>
      <c r="F112" s="49"/>
      <c r="G112" s="49"/>
      <c r="H112" s="49"/>
      <c r="I112" s="49"/>
      <c r="J112" s="49"/>
    </row>
    <row r="113" spans="1:10" x14ac:dyDescent="0.2">
      <c r="A113" s="49"/>
      <c r="B113" s="49"/>
      <c r="C113" s="49"/>
      <c r="D113" s="49"/>
      <c r="E113" s="49"/>
      <c r="F113" s="49"/>
      <c r="G113" s="49"/>
      <c r="H113" s="49"/>
      <c r="I113" s="49"/>
      <c r="J113" s="49"/>
    </row>
    <row r="114" spans="1:10" x14ac:dyDescent="0.2">
      <c r="A114" s="49"/>
      <c r="B114" s="49"/>
      <c r="C114" s="49"/>
      <c r="D114" s="49"/>
      <c r="E114" s="49"/>
      <c r="F114" s="49"/>
      <c r="G114" s="49"/>
      <c r="H114" s="49"/>
      <c r="I114" s="49"/>
      <c r="J114" s="49"/>
    </row>
    <row r="115" spans="1:10" x14ac:dyDescent="0.2">
      <c r="A115" s="49"/>
      <c r="B115" s="49"/>
      <c r="C115" s="49"/>
      <c r="D115" s="49"/>
      <c r="E115" s="49"/>
      <c r="F115" s="49"/>
      <c r="G115" s="49"/>
      <c r="H115" s="49"/>
      <c r="I115" s="49"/>
      <c r="J115" s="49"/>
    </row>
    <row r="116" spans="1:10" x14ac:dyDescent="0.2">
      <c r="A116" s="49"/>
      <c r="B116" s="49"/>
      <c r="C116" s="49"/>
      <c r="D116" s="49"/>
      <c r="E116" s="49"/>
      <c r="F116" s="49"/>
      <c r="G116" s="49"/>
      <c r="H116" s="49"/>
      <c r="I116" s="49"/>
      <c r="J116" s="49"/>
    </row>
    <row r="117" spans="1:10" x14ac:dyDescent="0.2">
      <c r="A117" s="49"/>
      <c r="B117" s="49"/>
      <c r="C117" s="49"/>
      <c r="D117" s="49"/>
      <c r="E117" s="49"/>
      <c r="F117" s="49"/>
      <c r="G117" s="49"/>
      <c r="H117" s="49"/>
      <c r="I117" s="49"/>
      <c r="J117" s="49"/>
    </row>
    <row r="118" spans="1:10" x14ac:dyDescent="0.2">
      <c r="A118" s="49"/>
      <c r="B118" s="49"/>
      <c r="C118" s="49"/>
      <c r="D118" s="49"/>
      <c r="E118" s="49"/>
      <c r="F118" s="49"/>
      <c r="G118" s="49"/>
      <c r="H118" s="49"/>
      <c r="I118" s="49"/>
      <c r="J118" s="49"/>
    </row>
  </sheetData>
  <sheetProtection formatCells="0" formatColumns="0" formatRows="0" insertColumns="0" insertRows="0" insertHyperlinks="0" deleteColumns="0" deleteRows="0" sort="0" autoFilter="0" pivotTables="0"/>
  <mergeCells count="7">
    <mergeCell ref="B3:C3"/>
    <mergeCell ref="B5:C5"/>
    <mergeCell ref="H37:J37"/>
    <mergeCell ref="AN2:AO2"/>
    <mergeCell ref="AI2:AI3"/>
    <mergeCell ref="AJ2:AK2"/>
    <mergeCell ref="AL2:AM2"/>
  </mergeCells>
  <dataValidations count="1">
    <dataValidation type="list" allowBlank="1" showInputMessage="1" showErrorMessage="1" errorTitle="اخطار" error="در صورتی که مشمول طرح طبقه بندی مشاغل هستید شماره گروه خود را وارد نمایید (یک تا بیست) در غیر اینصورت عدد یک (1) را وارد نمایید" sqref="D3">
      <formula1>$AI$4:$AI$23</formula1>
    </dataValidation>
  </dataValidations>
  <printOptions horizontalCentered="1"/>
  <pageMargins left="0.31496062992125984" right="0.31496062992125984" top="0.35433070866141736" bottom="0.35433070866141736" header="0.31496062992125984" footer="0.31496062992125984"/>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40</xdr:col>
                    <xdr:colOff>9525</xdr:colOff>
                    <xdr:row>30</xdr:row>
                    <xdr:rowOff>0</xdr:rowOff>
                  </from>
                  <to>
                    <xdr:col>42</xdr:col>
                    <xdr:colOff>714375</xdr:colOff>
                    <xdr:row>30</xdr:row>
                    <xdr:rowOff>247650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790575</xdr:colOff>
                    <xdr:row>4</xdr:row>
                    <xdr:rowOff>76200</xdr:rowOff>
                  </from>
                  <to>
                    <xdr:col>3</xdr:col>
                    <xdr:colOff>523875</xdr:colOff>
                    <xdr:row>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Q84"/>
  <sheetViews>
    <sheetView rightToLeft="1" workbookViewId="0">
      <selection activeCell="H7" sqref="H7"/>
    </sheetView>
  </sheetViews>
  <sheetFormatPr defaultColWidth="9" defaultRowHeight="14.25" x14ac:dyDescent="0.2"/>
  <cols>
    <col min="1" max="6" width="9" style="105"/>
    <col min="7" max="7" width="36.25" style="105" bestFit="1" customWidth="1"/>
    <col min="8" max="8" width="10.375" style="105" bestFit="1" customWidth="1"/>
    <col min="9" max="9" width="9" style="105"/>
    <col min="10" max="10" width="10.125" style="105" bestFit="1" customWidth="1"/>
    <col min="11" max="23" width="9" style="105"/>
    <col min="24" max="24" width="8.125" style="50" customWidth="1"/>
    <col min="25" max="25" width="18.625" style="50" customWidth="1"/>
    <col min="26" max="26" width="11.625" style="50" customWidth="1"/>
    <col min="27" max="27" width="12.625" style="50" customWidth="1"/>
    <col min="28" max="28" width="11.625" style="50" customWidth="1"/>
    <col min="29" max="29" width="12.625" style="50" customWidth="1"/>
    <col min="30" max="30" width="13.875" style="50" bestFit="1" customWidth="1"/>
    <col min="31" max="35" width="9.125" style="50"/>
    <col min="36" max="36" width="14.75" style="50" customWidth="1"/>
    <col min="37" max="37" width="9.125" style="50"/>
    <col min="38" max="38" width="11.25" style="50" bestFit="1" customWidth="1"/>
    <col min="39" max="39" width="9.125" style="50"/>
    <col min="40" max="40" width="12.75" style="50" bestFit="1" customWidth="1"/>
    <col min="41" max="41" width="9.125" style="50"/>
    <col min="42" max="42" width="16.375" style="50" bestFit="1" customWidth="1"/>
    <col min="43" max="43" width="10.25" style="50" customWidth="1"/>
    <col min="44" max="16384" width="9" style="105"/>
  </cols>
  <sheetData>
    <row r="1" spans="2:29" ht="15" thickBot="1" x14ac:dyDescent="0.25">
      <c r="C1" s="119"/>
      <c r="O1" s="105">
        <v>0</v>
      </c>
      <c r="U1" s="105">
        <v>0</v>
      </c>
    </row>
    <row r="2" spans="2:29" x14ac:dyDescent="0.2">
      <c r="B2" s="120"/>
      <c r="C2" s="121">
        <v>4</v>
      </c>
      <c r="D2" s="122" t="s">
        <v>29</v>
      </c>
      <c r="E2" s="119" t="s">
        <v>26</v>
      </c>
      <c r="L2" s="105">
        <v>0</v>
      </c>
      <c r="M2" s="105">
        <v>0</v>
      </c>
      <c r="O2" s="105">
        <v>700</v>
      </c>
      <c r="Q2" s="123" t="s">
        <v>43</v>
      </c>
      <c r="S2" s="105" t="s">
        <v>8</v>
      </c>
      <c r="U2" s="105">
        <v>1</v>
      </c>
    </row>
    <row r="3" spans="2:29" ht="15" thickBot="1" x14ac:dyDescent="0.25">
      <c r="C3" s="121">
        <v>5</v>
      </c>
      <c r="D3" s="122" t="s">
        <v>30</v>
      </c>
      <c r="E3" s="119" t="s">
        <v>23</v>
      </c>
      <c r="L3" s="105">
        <v>210</v>
      </c>
      <c r="M3" s="105">
        <v>810</v>
      </c>
      <c r="O3" s="105">
        <v>1500</v>
      </c>
      <c r="Q3" s="124" t="s">
        <v>44</v>
      </c>
      <c r="S3" s="105" t="s">
        <v>9</v>
      </c>
      <c r="U3" s="105">
        <v>2</v>
      </c>
    </row>
    <row r="4" spans="2:29" ht="21.75" thickBot="1" x14ac:dyDescent="0.25">
      <c r="C4" s="121">
        <v>6</v>
      </c>
      <c r="D4" s="122" t="s">
        <v>31</v>
      </c>
      <c r="E4" s="119" t="s">
        <v>24</v>
      </c>
      <c r="L4" s="105">
        <v>420</v>
      </c>
      <c r="O4" s="105">
        <v>2000</v>
      </c>
      <c r="U4" s="105">
        <v>3</v>
      </c>
      <c r="Y4" s="125" t="s">
        <v>36</v>
      </c>
      <c r="Z4" s="126"/>
      <c r="AA4" s="127" t="s">
        <v>42</v>
      </c>
      <c r="AB4" s="128" t="s">
        <v>47</v>
      </c>
      <c r="AC4" s="127" t="s">
        <v>47</v>
      </c>
    </row>
    <row r="5" spans="2:29" ht="22.5" x14ac:dyDescent="0.55000000000000004">
      <c r="C5" s="121">
        <v>7</v>
      </c>
      <c r="D5" s="122" t="s">
        <v>32</v>
      </c>
      <c r="E5" s="119" t="s">
        <v>25</v>
      </c>
      <c r="L5" s="105">
        <v>630</v>
      </c>
      <c r="U5" s="105">
        <v>4</v>
      </c>
      <c r="Y5" s="129" t="s">
        <v>26</v>
      </c>
      <c r="Z5" s="1">
        <v>1300</v>
      </c>
      <c r="AA5" s="2">
        <f>IF(Y5=Sheet2!H24,Z5,0)</f>
        <v>0</v>
      </c>
      <c r="AB5" s="1">
        <v>18</v>
      </c>
      <c r="AC5" s="2">
        <f>IF(Sheet2!H24=Y5,AB5,0)</f>
        <v>0</v>
      </c>
    </row>
    <row r="6" spans="2:29" ht="22.5" x14ac:dyDescent="0.55000000000000004">
      <c r="C6" s="121">
        <v>8</v>
      </c>
      <c r="D6" s="122" t="s">
        <v>33</v>
      </c>
      <c r="E6" s="119" t="s">
        <v>34</v>
      </c>
      <c r="L6" s="105">
        <v>840</v>
      </c>
      <c r="U6" s="105">
        <v>5</v>
      </c>
      <c r="Y6" s="130" t="s">
        <v>23</v>
      </c>
      <c r="Z6" s="3">
        <v>1450</v>
      </c>
      <c r="AA6" s="4">
        <f>IF(Y6=Sheet2!H24,Z6,0)</f>
        <v>0</v>
      </c>
      <c r="AB6" s="3">
        <v>25</v>
      </c>
      <c r="AC6" s="2">
        <f>IF(Sheet2!H24=Y6,AB6,0)</f>
        <v>0</v>
      </c>
    </row>
    <row r="7" spans="2:29" ht="22.5" x14ac:dyDescent="0.55000000000000004">
      <c r="C7" s="121">
        <v>9</v>
      </c>
      <c r="E7" s="119" t="s">
        <v>35</v>
      </c>
      <c r="L7" s="105">
        <v>1050</v>
      </c>
      <c r="U7" s="105">
        <v>6</v>
      </c>
      <c r="Y7" s="130" t="s">
        <v>24</v>
      </c>
      <c r="Z7" s="3">
        <v>1700</v>
      </c>
      <c r="AA7" s="4">
        <f>IF(Y7=Sheet2!H24,Z7,0)</f>
        <v>0</v>
      </c>
      <c r="AB7" s="3">
        <v>32</v>
      </c>
      <c r="AC7" s="2">
        <f>IF(Sheet2!H24=Y7,AB7,0)</f>
        <v>0</v>
      </c>
    </row>
    <row r="8" spans="2:29" ht="22.5" x14ac:dyDescent="0.55000000000000004">
      <c r="C8" s="121">
        <v>10</v>
      </c>
      <c r="L8" s="105">
        <v>1260</v>
      </c>
      <c r="U8" s="105">
        <v>7</v>
      </c>
      <c r="Y8" s="130" t="s">
        <v>25</v>
      </c>
      <c r="Z8" s="3">
        <v>2100</v>
      </c>
      <c r="AA8" s="4">
        <f>IF(Y8=Sheet2!H24,Z8,0)</f>
        <v>2100</v>
      </c>
      <c r="AB8" s="3">
        <v>39</v>
      </c>
      <c r="AC8" s="2">
        <f>IF(Sheet2!H24=Y8,AB8,0)</f>
        <v>39</v>
      </c>
    </row>
    <row r="9" spans="2:29" ht="23.25" thickBot="1" x14ac:dyDescent="0.6">
      <c r="C9" s="121">
        <v>11</v>
      </c>
      <c r="G9" s="284"/>
      <c r="H9" s="284"/>
      <c r="L9" s="105">
        <v>1470</v>
      </c>
      <c r="U9" s="105">
        <v>8</v>
      </c>
      <c r="Y9" s="130" t="s">
        <v>34</v>
      </c>
      <c r="Z9" s="3">
        <v>2600</v>
      </c>
      <c r="AA9" s="4">
        <f>IF(Y9=Sheet2!H24,Z9,0)</f>
        <v>0</v>
      </c>
      <c r="AB9" s="3">
        <v>46</v>
      </c>
      <c r="AC9" s="2">
        <f>IF(Sheet2!H24=Y9,AB9,0)</f>
        <v>0</v>
      </c>
    </row>
    <row r="10" spans="2:29" ht="24.75" thickBot="1" x14ac:dyDescent="0.6">
      <c r="C10" s="121">
        <v>12</v>
      </c>
      <c r="G10" s="104" t="s">
        <v>114</v>
      </c>
      <c r="H10" s="131">
        <v>0</v>
      </c>
      <c r="L10" s="105">
        <v>1680</v>
      </c>
      <c r="U10" s="105">
        <v>9</v>
      </c>
      <c r="Y10" s="132" t="s">
        <v>35</v>
      </c>
      <c r="Z10" s="5">
        <v>3100</v>
      </c>
      <c r="AA10" s="6">
        <f>IF(Y10=Sheet2!H24,Z10,0)</f>
        <v>0</v>
      </c>
      <c r="AB10" s="5">
        <v>53</v>
      </c>
      <c r="AC10" s="20">
        <f>IF(Sheet2!H24=Y10,AB10,0)</f>
        <v>0</v>
      </c>
    </row>
    <row r="11" spans="2:29" ht="23.25" thickBot="1" x14ac:dyDescent="0.6">
      <c r="C11" s="121">
        <v>13</v>
      </c>
      <c r="U11" s="105">
        <v>10</v>
      </c>
      <c r="Y11" s="293" t="s">
        <v>42</v>
      </c>
      <c r="Z11" s="294"/>
      <c r="AA11" s="32">
        <f>SUM(AA5:AA10)</f>
        <v>2100</v>
      </c>
      <c r="AB11" s="24">
        <f>SUM(AC5:AC10)</f>
        <v>39</v>
      </c>
      <c r="AC11" s="21">
        <f>(AB11*Sheet2!H26)+((Sheet2!H27/12)*AB11)</f>
        <v>0</v>
      </c>
    </row>
    <row r="12" spans="2:29" ht="22.5" x14ac:dyDescent="0.55000000000000004">
      <c r="C12" s="121">
        <v>14</v>
      </c>
      <c r="U12" s="105">
        <v>11</v>
      </c>
      <c r="Y12" s="302" t="s">
        <v>50</v>
      </c>
      <c r="Z12" s="303"/>
      <c r="AA12" s="303"/>
      <c r="AB12" s="304"/>
      <c r="AC12" s="22">
        <f>Sheet2!H28/2</f>
        <v>0</v>
      </c>
    </row>
    <row r="13" spans="2:29" ht="23.25" thickBot="1" x14ac:dyDescent="0.6">
      <c r="C13" s="121">
        <v>15</v>
      </c>
      <c r="U13" s="105">
        <v>12</v>
      </c>
      <c r="Y13" s="305" t="s">
        <v>51</v>
      </c>
      <c r="Z13" s="306"/>
      <c r="AA13" s="306"/>
      <c r="AB13" s="306"/>
      <c r="AC13" s="23">
        <f>AC11+AC12</f>
        <v>0</v>
      </c>
    </row>
    <row r="14" spans="2:29" ht="20.25" thickBot="1" x14ac:dyDescent="0.55000000000000004">
      <c r="C14" s="121">
        <v>16</v>
      </c>
      <c r="G14" s="284" t="s">
        <v>61</v>
      </c>
      <c r="H14" s="284"/>
      <c r="U14" s="105">
        <v>13</v>
      </c>
    </row>
    <row r="15" spans="2:29" ht="21" x14ac:dyDescent="0.2">
      <c r="C15" s="121">
        <v>17</v>
      </c>
      <c r="G15" s="41" t="s">
        <v>59</v>
      </c>
      <c r="H15" s="133">
        <v>0</v>
      </c>
      <c r="U15" s="105">
        <v>14</v>
      </c>
    </row>
    <row r="16" spans="2:29" ht="21.75" thickBot="1" x14ac:dyDescent="0.25">
      <c r="G16" s="43" t="s">
        <v>60</v>
      </c>
      <c r="H16" s="134">
        <v>0</v>
      </c>
      <c r="U16" s="105">
        <v>15</v>
      </c>
    </row>
    <row r="17" spans="7:36" ht="15" thickBot="1" x14ac:dyDescent="0.25">
      <c r="U17" s="105">
        <v>16</v>
      </c>
    </row>
    <row r="18" spans="7:36" x14ac:dyDescent="0.2">
      <c r="G18" s="286" t="s">
        <v>62</v>
      </c>
      <c r="H18" s="286"/>
      <c r="U18" s="105">
        <v>17</v>
      </c>
    </row>
    <row r="19" spans="7:36" ht="18.75" thickBot="1" x14ac:dyDescent="0.5">
      <c r="G19" s="287"/>
      <c r="H19" s="287"/>
      <c r="U19" s="105">
        <v>18</v>
      </c>
      <c r="AD19" s="62"/>
      <c r="AE19" s="61"/>
      <c r="AF19" s="178" t="s">
        <v>43</v>
      </c>
      <c r="AG19" s="178" t="s">
        <v>44</v>
      </c>
      <c r="AH19" s="178"/>
      <c r="AI19" s="178"/>
      <c r="AJ19" s="60"/>
    </row>
    <row r="20" spans="7:36" ht="18.75" thickBot="1" x14ac:dyDescent="0.5">
      <c r="U20" s="105">
        <v>19</v>
      </c>
      <c r="AD20" s="62"/>
      <c r="AE20" s="61"/>
      <c r="AF20" s="173">
        <v>0</v>
      </c>
      <c r="AG20" s="173">
        <v>0</v>
      </c>
      <c r="AH20" s="172" t="e">
        <f>IF('دستمزد 1400'!#REF!=0,0,0)</f>
        <v>#REF!</v>
      </c>
      <c r="AI20" s="172" t="e">
        <f>IF('دستمزد 1400'!#REF!=0,0,0)</f>
        <v>#REF!</v>
      </c>
      <c r="AJ20" s="60"/>
    </row>
    <row r="21" spans="7:36" ht="21.75" thickBot="1" x14ac:dyDescent="0.5">
      <c r="G21" s="288" t="s">
        <v>41</v>
      </c>
      <c r="H21" s="289"/>
      <c r="U21" s="105">
        <v>20</v>
      </c>
      <c r="AD21" s="62"/>
      <c r="AE21" s="61"/>
      <c r="AF21" s="173">
        <v>10</v>
      </c>
      <c r="AG21" s="173">
        <v>9</v>
      </c>
      <c r="AH21" s="172" t="e">
        <f>IF('دستمزد 1400'!#REF!=1,AF21,0)</f>
        <v>#REF!</v>
      </c>
      <c r="AI21" s="172" t="e">
        <f>IF('دستمزد 1400'!#REF!=1,AG21,0)</f>
        <v>#REF!</v>
      </c>
      <c r="AJ21" s="60"/>
    </row>
    <row r="22" spans="7:36" ht="22.5" x14ac:dyDescent="0.55000000000000004">
      <c r="G22" s="42" t="s">
        <v>27</v>
      </c>
      <c r="H22" s="135">
        <v>5</v>
      </c>
      <c r="U22" s="105">
        <v>21</v>
      </c>
      <c r="X22" s="29" t="s">
        <v>37</v>
      </c>
      <c r="Y22" s="30" t="s">
        <v>0</v>
      </c>
      <c r="Z22" s="31"/>
      <c r="AA22" s="105"/>
      <c r="AB22" s="105"/>
      <c r="AC22" s="105"/>
      <c r="AD22" s="62"/>
      <c r="AE22" s="61"/>
      <c r="AF22" s="173">
        <v>12</v>
      </c>
      <c r="AG22" s="173">
        <v>11</v>
      </c>
      <c r="AH22" s="172" t="e">
        <f>IF('دستمزد 1400'!#REF!=2,AF22,0)</f>
        <v>#REF!</v>
      </c>
      <c r="AI22" s="172" t="e">
        <f>IF('دستمزد 1400'!#REF!=2,AG22,0)</f>
        <v>#REF!</v>
      </c>
      <c r="AJ22" s="60"/>
    </row>
    <row r="23" spans="7:36" ht="22.5" x14ac:dyDescent="0.55000000000000004">
      <c r="G23" s="42" t="s">
        <v>28</v>
      </c>
      <c r="H23" s="135" t="s">
        <v>29</v>
      </c>
      <c r="U23" s="105">
        <v>22</v>
      </c>
      <c r="X23" s="28">
        <v>1</v>
      </c>
      <c r="Y23" s="7">
        <v>2400</v>
      </c>
      <c r="Z23" s="11">
        <f>IF(X23=Sheet2!H22,Y23,0)</f>
        <v>0</v>
      </c>
      <c r="AA23" s="105"/>
      <c r="AB23" s="105"/>
      <c r="AC23" s="105"/>
      <c r="AD23" s="62"/>
      <c r="AE23" s="61"/>
      <c r="AF23" s="173">
        <v>15</v>
      </c>
      <c r="AG23" s="173">
        <v>14</v>
      </c>
      <c r="AH23" s="172" t="e">
        <f>IF('دستمزد 1400'!#REF!=3,AF23,0)</f>
        <v>#REF!</v>
      </c>
      <c r="AI23" s="172" t="e">
        <f>IF('دستمزد 1400'!#REF!=3,AG23,0)</f>
        <v>#REF!</v>
      </c>
      <c r="AJ23" s="60"/>
    </row>
    <row r="24" spans="7:36" ht="22.5" x14ac:dyDescent="0.55000000000000004">
      <c r="G24" s="42" t="s">
        <v>22</v>
      </c>
      <c r="H24" s="135" t="s">
        <v>25</v>
      </c>
      <c r="U24" s="105">
        <v>23</v>
      </c>
      <c r="X24" s="44">
        <v>2</v>
      </c>
      <c r="Y24" s="45">
        <v>2600</v>
      </c>
      <c r="Z24" s="4">
        <f>IF(X24=Sheet2!H22,Y24,0)</f>
        <v>0</v>
      </c>
      <c r="AA24" s="105"/>
      <c r="AB24" s="105"/>
      <c r="AC24" s="105"/>
      <c r="AD24" s="62"/>
      <c r="AE24" s="61"/>
      <c r="AF24" s="173">
        <v>18</v>
      </c>
      <c r="AG24" s="173">
        <v>17</v>
      </c>
      <c r="AH24" s="172" t="e">
        <f>IF('دستمزد 1400'!#REF!=4,AF24,0)</f>
        <v>#REF!</v>
      </c>
      <c r="AI24" s="172" t="e">
        <f>IF('دستمزد 1400'!#REF!=4,AG24,0)</f>
        <v>#REF!</v>
      </c>
      <c r="AJ24" s="60"/>
    </row>
    <row r="25" spans="7:36" ht="22.5" x14ac:dyDescent="0.55000000000000004">
      <c r="G25" s="42" t="s">
        <v>45</v>
      </c>
      <c r="H25" s="135" t="s">
        <v>43</v>
      </c>
      <c r="U25" s="105">
        <v>24</v>
      </c>
      <c r="X25" s="28">
        <v>3</v>
      </c>
      <c r="Y25" s="7">
        <v>2800</v>
      </c>
      <c r="Z25" s="11">
        <f>IF(X25=Sheet2!H22,Y25,0)</f>
        <v>0</v>
      </c>
      <c r="AA25" s="105"/>
      <c r="AB25" s="105"/>
      <c r="AC25" s="105"/>
      <c r="AD25" s="62"/>
      <c r="AE25" s="61"/>
      <c r="AF25" s="173">
        <v>21</v>
      </c>
      <c r="AG25" s="173">
        <v>20</v>
      </c>
      <c r="AH25" s="172" t="e">
        <f>IF('دستمزد 1400'!#REF!=5,AF25,0)</f>
        <v>#REF!</v>
      </c>
      <c r="AI25" s="172" t="e">
        <f>IF('دستمزد 1400'!#REF!=5,AG25,0)</f>
        <v>#REF!</v>
      </c>
      <c r="AJ25" s="60"/>
    </row>
    <row r="26" spans="7:36" ht="22.5" x14ac:dyDescent="0.55000000000000004">
      <c r="G26" s="42" t="s">
        <v>46</v>
      </c>
      <c r="H26" s="135">
        <v>0</v>
      </c>
      <c r="U26" s="105">
        <v>25</v>
      </c>
      <c r="X26" s="44">
        <v>4</v>
      </c>
      <c r="Y26" s="45">
        <v>3000</v>
      </c>
      <c r="Z26" s="4">
        <f>IF(X26=Sheet2!H22,Y26,0)</f>
        <v>0</v>
      </c>
      <c r="AA26" s="105"/>
      <c r="AB26" s="105"/>
      <c r="AC26" s="105"/>
      <c r="AD26" s="62"/>
      <c r="AE26" s="61"/>
      <c r="AF26" s="174" t="e">
        <f>IF('دستمزد 1400'!#REF!=0,0,('دستمزد 1400'!#REF!*100)/AF27)</f>
        <v>#REF!</v>
      </c>
      <c r="AG26" s="175" t="e">
        <f>IF('دستمزد 1400'!#REF!="ابتدایی",AH26,AI26)</f>
        <v>#REF!</v>
      </c>
      <c r="AH26" s="176" t="e">
        <f>SUM(AH20:AH25)</f>
        <v>#REF!</v>
      </c>
      <c r="AI26" s="176" t="e">
        <f>SUM(AI20:AI25)</f>
        <v>#REF!</v>
      </c>
      <c r="AJ26" s="60"/>
    </row>
    <row r="27" spans="7:36" ht="23.25" thickBot="1" x14ac:dyDescent="0.6">
      <c r="G27" s="42" t="s">
        <v>48</v>
      </c>
      <c r="H27" s="135">
        <v>0</v>
      </c>
      <c r="U27" s="105">
        <v>26</v>
      </c>
      <c r="X27" s="28">
        <v>5</v>
      </c>
      <c r="Y27" s="7">
        <v>3200</v>
      </c>
      <c r="Z27" s="11">
        <f>IF(X27=Sheet2!H22,Y27,0)</f>
        <v>3200</v>
      </c>
      <c r="AA27" s="105"/>
      <c r="AB27" s="105"/>
      <c r="AC27" s="105"/>
      <c r="AD27" s="62"/>
      <c r="AE27" s="61"/>
      <c r="AF27" s="177" t="e">
        <f>SUM('دستمزد 1400'!#REF!,'دستمزد 1400'!#REF!,'دستمزد 1400'!#REF!,'دستمزد 1400'!#REF!,'دستمزد 1400'!#REF!,'دستمزد 1400'!#REF!,'دستمزد 1400'!#REF!,'دستمزد 1400'!#REF!,'دستمزد 1400'!#REF!,'دستمزد 1400'!#REF!)</f>
        <v>#REF!</v>
      </c>
      <c r="AG27" s="60"/>
      <c r="AH27" s="60"/>
      <c r="AI27" s="60"/>
      <c r="AJ27" s="60"/>
    </row>
    <row r="28" spans="7:36" ht="23.25" thickBot="1" x14ac:dyDescent="0.6">
      <c r="G28" s="43" t="s">
        <v>49</v>
      </c>
      <c r="H28" s="134">
        <v>0</v>
      </c>
      <c r="U28" s="105">
        <v>27</v>
      </c>
      <c r="X28" s="44">
        <v>6</v>
      </c>
      <c r="Y28" s="45">
        <v>3400</v>
      </c>
      <c r="Z28" s="4">
        <f>IF(X28=Sheet2!H22,Y28,0)</f>
        <v>0</v>
      </c>
      <c r="AA28" s="105"/>
      <c r="AB28" s="105"/>
      <c r="AC28" s="105"/>
      <c r="AD28" s="62"/>
      <c r="AE28" s="61"/>
      <c r="AF28" s="60"/>
      <c r="AG28" s="60"/>
      <c r="AH28" s="182" t="e">
        <f>AG26+AF26</f>
        <v>#REF!</v>
      </c>
      <c r="AI28" s="60"/>
      <c r="AJ28" s="60"/>
    </row>
    <row r="29" spans="7:36" ht="23.25" thickBot="1" x14ac:dyDescent="0.6">
      <c r="U29" s="105">
        <v>28</v>
      </c>
      <c r="X29" s="28">
        <v>7</v>
      </c>
      <c r="Y29" s="7">
        <v>3600</v>
      </c>
      <c r="Z29" s="11">
        <f>IF(X29=Sheet2!H22,Y29,0)</f>
        <v>0</v>
      </c>
      <c r="AA29" s="105"/>
      <c r="AB29" s="105"/>
      <c r="AC29" s="105"/>
      <c r="AD29" s="105"/>
      <c r="AF29" s="136"/>
    </row>
    <row r="30" spans="7:36" ht="22.5" x14ac:dyDescent="0.55000000000000004">
      <c r="G30" s="49"/>
      <c r="H30" s="49"/>
      <c r="I30" s="49"/>
      <c r="U30" s="105">
        <v>29</v>
      </c>
      <c r="X30" s="44">
        <v>8</v>
      </c>
      <c r="Y30" s="45">
        <v>3800</v>
      </c>
      <c r="Z30" s="4">
        <f>IF(X30=Sheet2!H22,Y30,0)</f>
        <v>0</v>
      </c>
      <c r="AA30" s="105"/>
      <c r="AB30" s="105"/>
      <c r="AC30" s="105"/>
      <c r="AD30" s="105"/>
    </row>
    <row r="31" spans="7:36" ht="22.5" x14ac:dyDescent="0.55000000000000004">
      <c r="G31" s="290" t="s">
        <v>55</v>
      </c>
      <c r="H31" s="290"/>
      <c r="I31" s="137" t="e">
        <f>('دستمزد 1400'!#REF!*100)/Sheet2!AQ38</f>
        <v>#REF!</v>
      </c>
      <c r="U31" s="105">
        <v>30</v>
      </c>
      <c r="X31" s="28">
        <v>9</v>
      </c>
      <c r="Y31" s="7">
        <v>4000</v>
      </c>
      <c r="Z31" s="11">
        <f>IF(X31=Sheet2!H22,Y31,0)</f>
        <v>0</v>
      </c>
      <c r="AA31" s="105"/>
      <c r="AB31" s="105"/>
      <c r="AC31" s="105"/>
      <c r="AD31" s="105"/>
      <c r="AF31" s="138"/>
    </row>
    <row r="32" spans="7:36" ht="22.5" x14ac:dyDescent="0.55000000000000004">
      <c r="G32" s="290" t="s">
        <v>56</v>
      </c>
      <c r="H32" s="290"/>
      <c r="I32" s="137" t="e">
        <f>('دستمزد 1400'!#REF!*100)/Sheet2!AQ38</f>
        <v>#REF!</v>
      </c>
      <c r="X32" s="44">
        <v>10</v>
      </c>
      <c r="Y32" s="45">
        <v>4200</v>
      </c>
      <c r="Z32" s="4">
        <f>IF(X32=Sheet2!H22,Y32,0)</f>
        <v>0</v>
      </c>
      <c r="AA32" s="105"/>
      <c r="AB32" s="105"/>
      <c r="AC32" s="105"/>
      <c r="AD32" s="105"/>
    </row>
    <row r="33" spans="7:43" ht="22.5" x14ac:dyDescent="0.55000000000000004">
      <c r="G33" s="290" t="s">
        <v>67</v>
      </c>
      <c r="H33" s="290"/>
      <c r="I33" s="137" t="e">
        <f>('دستمزد 1400'!#REF!*100)/Sheet2!I36</f>
        <v>#REF!</v>
      </c>
      <c r="X33" s="28">
        <v>11</v>
      </c>
      <c r="Y33" s="7">
        <v>4400</v>
      </c>
      <c r="Z33" s="11">
        <f>IF(X33=Sheet2!H22,Y33,0)</f>
        <v>0</v>
      </c>
      <c r="AA33" s="105"/>
      <c r="AB33" s="105"/>
      <c r="AC33" s="105"/>
      <c r="AD33" s="105"/>
    </row>
    <row r="34" spans="7:43" ht="22.5" x14ac:dyDescent="0.55000000000000004">
      <c r="G34" s="290" t="s">
        <v>72</v>
      </c>
      <c r="H34" s="290"/>
      <c r="I34" s="137" t="e">
        <f>('جدول محاسبات'!#REF!*100)/'جدول محاسبات'!E4</f>
        <v>#REF!</v>
      </c>
      <c r="X34" s="44">
        <v>12</v>
      </c>
      <c r="Y34" s="45">
        <v>4600</v>
      </c>
      <c r="Z34" s="4">
        <f>IF(X34=Sheet2!H22,Y34,0)</f>
        <v>0</v>
      </c>
      <c r="AA34" s="105"/>
      <c r="AB34" s="105"/>
      <c r="AC34" s="105"/>
      <c r="AD34" s="105"/>
    </row>
    <row r="35" spans="7:43" ht="22.5" x14ac:dyDescent="0.55000000000000004">
      <c r="G35" s="50"/>
      <c r="H35" s="50"/>
      <c r="I35" s="50"/>
      <c r="X35" s="28">
        <v>13</v>
      </c>
      <c r="Y35" s="7">
        <v>4800</v>
      </c>
      <c r="Z35" s="11">
        <f>IF(X35=Sheet2!H22,Y35,0)</f>
        <v>0</v>
      </c>
      <c r="AA35" s="105"/>
      <c r="AB35" s="105"/>
      <c r="AC35" s="105"/>
      <c r="AD35" s="105"/>
    </row>
    <row r="36" spans="7:43" ht="22.5" x14ac:dyDescent="0.55000000000000004">
      <c r="G36" s="290" t="s">
        <v>68</v>
      </c>
      <c r="H36" s="290"/>
      <c r="I36" s="59">
        <f>SUM('جدول محاسبات'!E4,'جدول محاسبات'!E5,'جدول محاسبات'!E6,'جدول محاسبات'!E9,'جدول محاسبات'!E13,'جدول محاسبات'!E15,'جدول محاسبات'!E16,'جدول محاسبات'!E17,'جدول محاسبات'!E21,'جدول محاسبات'!E22)</f>
        <v>0</v>
      </c>
      <c r="X36" s="44">
        <v>14</v>
      </c>
      <c r="Y36" s="45">
        <v>5000</v>
      </c>
      <c r="Z36" s="4">
        <f>IF(X36=Sheet2!H22,Y36,0)</f>
        <v>0</v>
      </c>
      <c r="AA36" s="105"/>
      <c r="AB36" s="105"/>
      <c r="AC36" s="105"/>
      <c r="AD36" s="105"/>
      <c r="AO36" s="63"/>
      <c r="AP36" s="139"/>
      <c r="AQ36" s="140"/>
    </row>
    <row r="37" spans="7:43" ht="23.25" thickBot="1" x14ac:dyDescent="0.6">
      <c r="G37" s="50"/>
      <c r="H37" s="50"/>
      <c r="I37" s="50"/>
      <c r="X37" s="28">
        <v>15</v>
      </c>
      <c r="Y37" s="7">
        <v>5200</v>
      </c>
      <c r="Z37" s="11">
        <f>IF(X37=Sheet2!H22,Y37,0)</f>
        <v>0</v>
      </c>
      <c r="AA37" s="105"/>
      <c r="AB37" s="105"/>
      <c r="AC37" s="105"/>
      <c r="AD37" s="105"/>
    </row>
    <row r="38" spans="7:43" ht="23.25" thickBot="1" x14ac:dyDescent="0.6">
      <c r="G38" s="290" t="s">
        <v>69</v>
      </c>
      <c r="H38" s="290"/>
      <c r="I38" s="59">
        <f>ROUND('جدول محاسبات'!D21*Sheet2!H42%,0)</f>
        <v>0</v>
      </c>
      <c r="X38" s="46">
        <v>16</v>
      </c>
      <c r="Y38" s="47">
        <v>5400</v>
      </c>
      <c r="Z38" s="48">
        <f>IF(X38=Sheet2!H22,Y38,0)</f>
        <v>0</v>
      </c>
      <c r="AA38" s="105"/>
      <c r="AB38" s="105"/>
      <c r="AC38" s="105"/>
      <c r="AD38" s="105"/>
      <c r="AI38" s="141" t="s">
        <v>43</v>
      </c>
      <c r="AJ38" s="142" t="s">
        <v>44</v>
      </c>
      <c r="AL38" s="143" t="s">
        <v>11</v>
      </c>
      <c r="AN38" s="143" t="s">
        <v>53</v>
      </c>
      <c r="AP38" s="144" t="s">
        <v>54</v>
      </c>
      <c r="AQ38" s="145">
        <f>SUM('جدول محاسبات'!E7,'جدول محاسبات'!E22,'جدول محاسبات'!E21)</f>
        <v>0</v>
      </c>
    </row>
    <row r="39" spans="7:43" ht="22.5" x14ac:dyDescent="0.55000000000000004">
      <c r="G39" s="290" t="s">
        <v>70</v>
      </c>
      <c r="H39" s="290"/>
      <c r="I39" s="59">
        <f>ROUND('جدول محاسبات'!D22*Sheet2!H42%,0)</f>
        <v>0</v>
      </c>
      <c r="X39" s="25" t="s">
        <v>29</v>
      </c>
      <c r="Y39" s="9">
        <v>0</v>
      </c>
      <c r="Z39" s="10">
        <f>IF(X39=Sheet2!H23,0,0)</f>
        <v>0</v>
      </c>
      <c r="AA39" s="297" t="s">
        <v>39</v>
      </c>
      <c r="AB39" s="298"/>
      <c r="AC39" s="298"/>
      <c r="AD39" s="299"/>
      <c r="AF39" s="33">
        <v>1</v>
      </c>
      <c r="AG39" s="34">
        <f>IF(AND(AND(X39=Sheet2!H23,Sheet2!H26&gt;1,Sheet2!H28&gt;119,Sheet2!H15&gt;69,Sheet2!H16&gt;69),((Sheet2!H15+Sheet2!H16)/2)&gt;=75),1,0)</f>
        <v>0</v>
      </c>
      <c r="AI39" s="146">
        <f>IF(AG39=AF39,AD44*30%,0)</f>
        <v>0</v>
      </c>
      <c r="AJ39" s="147">
        <f>IF(AG39=AF39,AD44*20%,0)</f>
        <v>0</v>
      </c>
      <c r="AL39" s="148">
        <f>IF(AG39=AF39,'دستمزد 1400'!#REF!*10%,0)</f>
        <v>0</v>
      </c>
      <c r="AN39" s="148">
        <f>IF(AG39=AF39,AA11*10%,0)</f>
        <v>0</v>
      </c>
    </row>
    <row r="40" spans="7:43" ht="22.5" x14ac:dyDescent="0.55000000000000004">
      <c r="X40" s="26" t="s">
        <v>30</v>
      </c>
      <c r="Y40" s="7">
        <v>250</v>
      </c>
      <c r="Z40" s="11">
        <f>IF(X40=Sheet2!H23,Y40,0)</f>
        <v>0</v>
      </c>
      <c r="AA40" s="26">
        <f>AA44</f>
        <v>3520</v>
      </c>
      <c r="AB40" s="7">
        <f>IF(X40=Sheet2!H23,AA41,0)</f>
        <v>0</v>
      </c>
      <c r="AC40" s="15">
        <v>0.15</v>
      </c>
      <c r="AD40" s="16">
        <f>AC40*AB40</f>
        <v>0</v>
      </c>
      <c r="AF40" s="28">
        <v>2</v>
      </c>
      <c r="AG40" s="35">
        <f>IF(X40=Sheet2!H23,AF40,0)</f>
        <v>0</v>
      </c>
      <c r="AI40" s="149">
        <f>IF(AG40=AF40,AD44*25%,0)</f>
        <v>0</v>
      </c>
      <c r="AJ40" s="150">
        <f>IF(AG40=AF40,AD44*15%,0)</f>
        <v>0</v>
      </c>
      <c r="AL40" s="151">
        <f>IF(AG40=AF40,'دستمزد 1400'!#REF!*15%,0)</f>
        <v>0</v>
      </c>
      <c r="AN40" s="148">
        <f>IF(AG40=AF40,AA11*15%,0)</f>
        <v>0</v>
      </c>
    </row>
    <row r="41" spans="7:43" ht="23.25" thickBot="1" x14ac:dyDescent="0.6">
      <c r="G41" s="285" t="s">
        <v>74</v>
      </c>
      <c r="H41" s="284"/>
      <c r="X41" s="26" t="s">
        <v>31</v>
      </c>
      <c r="Y41" s="7">
        <v>600</v>
      </c>
      <c r="Z41" s="11">
        <f>IF(X41=Sheet2!H23,Y41,0)</f>
        <v>0</v>
      </c>
      <c r="AA41" s="26">
        <f>AA44</f>
        <v>3520</v>
      </c>
      <c r="AB41" s="7">
        <f>IF(X41=Sheet2!H23,AA41,0)</f>
        <v>0</v>
      </c>
      <c r="AC41" s="15">
        <v>0.25</v>
      </c>
      <c r="AD41" s="16">
        <f>AC41*AB41</f>
        <v>0</v>
      </c>
      <c r="AF41" s="28">
        <v>3</v>
      </c>
      <c r="AG41" s="35">
        <f>IF(X41=Sheet2!H23,AF41,0)</f>
        <v>0</v>
      </c>
      <c r="AI41" s="149">
        <f>IF(AG41=AF41,AD44*17%,0)</f>
        <v>0</v>
      </c>
      <c r="AJ41" s="150">
        <f>IF(AG41=AF41,AD44*10%,0)</f>
        <v>0</v>
      </c>
      <c r="AL41" s="151">
        <f>IF(AG41=AF41,'دستمزد 1400'!#REF!*25%,0)</f>
        <v>0</v>
      </c>
      <c r="AN41" s="148">
        <f>IF(AG41=AF41,AA11*25%,0)</f>
        <v>0</v>
      </c>
    </row>
    <row r="42" spans="7:43" ht="24.75" thickBot="1" x14ac:dyDescent="0.6">
      <c r="G42" s="68" t="s">
        <v>73</v>
      </c>
      <c r="H42" s="152">
        <v>0</v>
      </c>
      <c r="X42" s="26" t="s">
        <v>32</v>
      </c>
      <c r="Y42" s="7">
        <v>1050</v>
      </c>
      <c r="Z42" s="11">
        <f>IF(X42=Sheet2!H23,Y42,0)</f>
        <v>0</v>
      </c>
      <c r="AA42" s="26">
        <f>AA44</f>
        <v>3520</v>
      </c>
      <c r="AB42" s="7">
        <f>IF(X42=Sheet2!H23,AA42,0)</f>
        <v>0</v>
      </c>
      <c r="AC42" s="15">
        <v>0.35</v>
      </c>
      <c r="AD42" s="16">
        <f>AC42*AB42</f>
        <v>0</v>
      </c>
      <c r="AF42" s="28">
        <v>4</v>
      </c>
      <c r="AG42" s="35">
        <f>IF(X42=Sheet2!H23,AF42,0)</f>
        <v>0</v>
      </c>
      <c r="AI42" s="149">
        <f>IF(AG42=AF42,AD44*8%,0)</f>
        <v>0</v>
      </c>
      <c r="AJ42" s="150">
        <f>IF(AG42=AF42,AD44*5%,0)</f>
        <v>0</v>
      </c>
      <c r="AL42" s="151">
        <f>IF(AG42=AF42,'دستمزد 1400'!#REF!*35%,0)</f>
        <v>0</v>
      </c>
      <c r="AN42" s="148">
        <f>IF(AG42=AF42,AA11*35%,0)</f>
        <v>0</v>
      </c>
      <c r="AP42" s="144" t="s">
        <v>57</v>
      </c>
      <c r="AQ42" s="145" t="e">
        <f>SUM(Sheet2!H58,Sheet2!H73,Sheet2!H74)</f>
        <v>#REF!</v>
      </c>
    </row>
    <row r="43" spans="7:43" ht="23.25" thickBot="1" x14ac:dyDescent="0.6">
      <c r="X43" s="12" t="s">
        <v>33</v>
      </c>
      <c r="Y43" s="13">
        <v>1600</v>
      </c>
      <c r="Z43" s="14">
        <f>IF(X43=Sheet2!H23,Y43,0)</f>
        <v>0</v>
      </c>
      <c r="AA43" s="26">
        <f>AA44</f>
        <v>3520</v>
      </c>
      <c r="AB43" s="8">
        <f>IF(X43=Sheet2!H23,AA43,0)</f>
        <v>0</v>
      </c>
      <c r="AC43" s="17">
        <v>0.5</v>
      </c>
      <c r="AD43" s="18">
        <f>AC43*AB43</f>
        <v>0</v>
      </c>
      <c r="AF43" s="36">
        <v>5</v>
      </c>
      <c r="AG43" s="37">
        <f>IF(X43=Sheet2!H23,AF43,0)</f>
        <v>0</v>
      </c>
      <c r="AI43" s="153">
        <f>SUM(AI39:AI42)</f>
        <v>0</v>
      </c>
      <c r="AJ43" s="154">
        <f>SUM(AJ39:AJ42)</f>
        <v>0</v>
      </c>
      <c r="AL43" s="151">
        <f>IF(AG43=AF43,'دستمزد 1400'!#REF!*50%,0)</f>
        <v>0</v>
      </c>
      <c r="AN43" s="148">
        <f>IF(AG43=AF43,AA11*50%,0)</f>
        <v>0</v>
      </c>
    </row>
    <row r="44" spans="7:43" ht="24.75" thickBot="1" x14ac:dyDescent="0.65">
      <c r="G44" s="284" t="s">
        <v>66</v>
      </c>
      <c r="H44" s="284"/>
      <c r="X44" s="295" t="s">
        <v>38</v>
      </c>
      <c r="Y44" s="296"/>
      <c r="Z44" s="27">
        <f>SUM(Z23:Z43)</f>
        <v>3200</v>
      </c>
      <c r="AA44" s="155">
        <f>Z44+(Z44*10%)</f>
        <v>3520</v>
      </c>
      <c r="AB44" s="300" t="s">
        <v>40</v>
      </c>
      <c r="AC44" s="301"/>
      <c r="AD44" s="19">
        <f>SUM(AD40:AD43,AA44)</f>
        <v>3520</v>
      </c>
      <c r="AF44" s="38" t="s">
        <v>28</v>
      </c>
      <c r="AG44" s="39">
        <f>SUM(AG39:AG43)</f>
        <v>0</v>
      </c>
      <c r="AI44" s="40" t="s">
        <v>52</v>
      </c>
      <c r="AJ44" s="156">
        <f>IF(Sheet2!H25=Sheet2!Q2,AI43,AJ43)</f>
        <v>0</v>
      </c>
      <c r="AL44" s="157">
        <f>SUM(AL39:AL43)</f>
        <v>0</v>
      </c>
      <c r="AN44" s="157">
        <f>IF(AG44&gt;0,SUM(AN39:AN43)+(AC13*50%),0)</f>
        <v>0</v>
      </c>
      <c r="AP44" s="144" t="s">
        <v>58</v>
      </c>
      <c r="AQ44" s="145">
        <f>SUM('جدول محاسبات'!G7,'جدول محاسبات'!G21,'جدول محاسبات'!G22)</f>
        <v>0</v>
      </c>
    </row>
    <row r="45" spans="7:43" ht="24.75" thickBot="1" x14ac:dyDescent="0.25">
      <c r="G45" s="68" t="s">
        <v>65</v>
      </c>
      <c r="H45" s="75" t="s">
        <v>9</v>
      </c>
    </row>
    <row r="52" spans="7:8" ht="15" thickBot="1" x14ac:dyDescent="0.25"/>
    <row r="53" spans="7:8" ht="21" x14ac:dyDescent="0.2">
      <c r="G53" s="291" t="s">
        <v>108</v>
      </c>
      <c r="H53" s="292"/>
    </row>
    <row r="54" spans="7:8" ht="21.75" thickBot="1" x14ac:dyDescent="0.25">
      <c r="G54" s="69" t="s">
        <v>0</v>
      </c>
      <c r="H54" s="70" t="s">
        <v>1</v>
      </c>
    </row>
    <row r="55" spans="7:8" ht="21" x14ac:dyDescent="0.2">
      <c r="G55" s="53">
        <f>'جدول محاسبات'!D4</f>
        <v>0</v>
      </c>
      <c r="H55" s="54" t="e">
        <f>G55*'دستمزد 1400'!#REF!</f>
        <v>#REF!</v>
      </c>
    </row>
    <row r="56" spans="7:8" ht="21" x14ac:dyDescent="0.2">
      <c r="G56" s="51">
        <f>'جدول محاسبات'!D5</f>
        <v>0</v>
      </c>
      <c r="H56" s="52" t="e">
        <f>G56*'دستمزد 1400'!#REF!</f>
        <v>#REF!</v>
      </c>
    </row>
    <row r="57" spans="7:8" ht="21" x14ac:dyDescent="0.2">
      <c r="G57" s="56" t="e">
        <f>'ورود اطلاعات (2)'!K12</f>
        <v>#REF!</v>
      </c>
      <c r="H57" s="52" t="e">
        <f>G57*'دستمزد 1400'!#REF!</f>
        <v>#REF!</v>
      </c>
    </row>
    <row r="58" spans="7:8" ht="21" x14ac:dyDescent="0.2">
      <c r="G58" s="72" t="e">
        <f>SUM(G55:G57)</f>
        <v>#REF!</v>
      </c>
      <c r="H58" s="71" t="e">
        <f>SUM(H55:H57)</f>
        <v>#REF!</v>
      </c>
    </row>
    <row r="59" spans="7:8" ht="21" x14ac:dyDescent="0.2">
      <c r="G59" s="56"/>
      <c r="H59" s="55">
        <f>'جدول محاسبات'!E8</f>
        <v>0</v>
      </c>
    </row>
    <row r="60" spans="7:8" ht="21" x14ac:dyDescent="0.2">
      <c r="G60" s="56">
        <f>'جدول محاسبات'!D9</f>
        <v>0</v>
      </c>
      <c r="H60" s="55" t="e">
        <f>G60*'دستمزد 1400'!#REF!</f>
        <v>#REF!</v>
      </c>
    </row>
    <row r="61" spans="7:8" ht="21" x14ac:dyDescent="0.2">
      <c r="G61" s="56"/>
      <c r="H61" s="55" t="e">
        <f>IF('دستمزد 1400'!#REF!=0,0,SUM(H55,H56,H57,H60,H64,H66,H67,H68,H73,H74)*Sheet2!I33%)</f>
        <v>#REF!</v>
      </c>
    </row>
    <row r="62" spans="7:8" ht="21" x14ac:dyDescent="0.2">
      <c r="G62" s="56"/>
      <c r="H62" s="55" t="e">
        <f>IF('دستمزد 1400'!#REF!=0,0,Sheet2!AQ42*Sheet2!I31%)</f>
        <v>#REF!</v>
      </c>
    </row>
    <row r="63" spans="7:8" ht="21" x14ac:dyDescent="0.2">
      <c r="G63" s="56"/>
      <c r="H63" s="55" t="e">
        <f>IF('دستمزد 1400'!#REF!=0,0,Sheet2!AQ42*Sheet2!I32%)</f>
        <v>#REF!</v>
      </c>
    </row>
    <row r="64" spans="7:8" ht="21" x14ac:dyDescent="0.2">
      <c r="G64" s="56">
        <f>'جدول محاسبات'!D13</f>
        <v>0</v>
      </c>
      <c r="H64" s="55" t="e">
        <f>G64*'دستمزد 1400'!#REF!</f>
        <v>#REF!</v>
      </c>
    </row>
    <row r="65" spans="7:8" ht="21" x14ac:dyDescent="0.2">
      <c r="G65" s="56"/>
      <c r="H65" s="55" t="e">
        <f>IF('دستمزد 1400'!#REF!="بلی",'ورود اطلاعات (2)'!K48/4,0)</f>
        <v>#REF!</v>
      </c>
    </row>
    <row r="66" spans="7:8" ht="21" x14ac:dyDescent="0.2">
      <c r="G66" s="56">
        <f>'جدول محاسبات'!D15</f>
        <v>0</v>
      </c>
      <c r="H66" s="55" t="e">
        <f>G66*'دستمزد 1400'!#REF!</f>
        <v>#REF!</v>
      </c>
    </row>
    <row r="67" spans="7:8" ht="21" x14ac:dyDescent="0.2">
      <c r="G67" s="56">
        <f>'جدول محاسبات'!D16</f>
        <v>0</v>
      </c>
      <c r="H67" s="55" t="e">
        <f>G67*'دستمزد 1400'!#REF!</f>
        <v>#REF!</v>
      </c>
    </row>
    <row r="68" spans="7:8" ht="21" x14ac:dyDescent="0.2">
      <c r="G68" s="56">
        <f>'جدول محاسبات'!D17</f>
        <v>0</v>
      </c>
      <c r="H68" s="55" t="e">
        <f>G68*'دستمزد 1400'!#REF!</f>
        <v>#REF!</v>
      </c>
    </row>
    <row r="69" spans="7:8" ht="21" x14ac:dyDescent="0.2">
      <c r="G69" s="56">
        <f>'جدول محاسبات'!D18</f>
        <v>0</v>
      </c>
      <c r="H69" s="55">
        <f>G69*2438</f>
        <v>0</v>
      </c>
    </row>
    <row r="70" spans="7:8" ht="21" x14ac:dyDescent="0.2">
      <c r="G70" s="56">
        <f>'جدول محاسبات'!D19</f>
        <v>0</v>
      </c>
      <c r="H70" s="55">
        <f>G70*2438</f>
        <v>0</v>
      </c>
    </row>
    <row r="71" spans="7:8" ht="21" x14ac:dyDescent="0.2">
      <c r="G71" s="56"/>
      <c r="H71" s="55" t="e">
        <f>IF('دستمزد 1400'!#REF!=0,0,H55*Sheet2!I34%)</f>
        <v>#REF!</v>
      </c>
    </row>
    <row r="72" spans="7:8" ht="21" x14ac:dyDescent="0.2">
      <c r="G72" s="56"/>
      <c r="H72" s="55" t="e">
        <f>'دستمزد 1400'!#REF!</f>
        <v>#REF!</v>
      </c>
    </row>
    <row r="73" spans="7:8" ht="21" x14ac:dyDescent="0.2">
      <c r="G73" s="56">
        <f>'جدول محاسبات'!D21</f>
        <v>0</v>
      </c>
      <c r="H73" s="55" t="e">
        <f>G73*'دستمزد 1400'!#REF!</f>
        <v>#REF!</v>
      </c>
    </row>
    <row r="74" spans="7:8" ht="21" x14ac:dyDescent="0.2">
      <c r="G74" s="58">
        <f>'جدول محاسبات'!D22</f>
        <v>0</v>
      </c>
      <c r="H74" s="57" t="e">
        <f>G74*'دستمزد 1400'!#REF!</f>
        <v>#REF!</v>
      </c>
    </row>
    <row r="75" spans="7:8" ht="21.75" thickBot="1" x14ac:dyDescent="0.25">
      <c r="G75" s="58"/>
      <c r="H75" s="55" t="e">
        <f>IF(SUM(H58,'جدول محاسبات'!E8,H60:H74)&lt;28000000,(28000000-SUM(H58,'جدول محاسبات'!E8,H60:H74)),0)</f>
        <v>#REF!</v>
      </c>
    </row>
    <row r="76" spans="7:8" ht="21.75" thickBot="1" x14ac:dyDescent="0.25">
      <c r="G76" s="74" t="e">
        <f>SUM(G58:G74)</f>
        <v>#REF!</v>
      </c>
      <c r="H76" s="73" t="e">
        <f>SUM(H58:H75)</f>
        <v>#REF!</v>
      </c>
    </row>
    <row r="77" spans="7:8" ht="20.25" thickBot="1" x14ac:dyDescent="0.25">
      <c r="G77" s="110"/>
      <c r="H77" s="110"/>
    </row>
    <row r="78" spans="7:8" ht="21.75" thickBot="1" x14ac:dyDescent="0.25">
      <c r="G78" s="103"/>
      <c r="H78" s="103"/>
    </row>
    <row r="79" spans="7:8" ht="20.25" x14ac:dyDescent="0.2">
      <c r="G79" s="102"/>
      <c r="H79" s="102"/>
    </row>
    <row r="80" spans="7:8" ht="20.25" x14ac:dyDescent="0.2">
      <c r="G80" s="100"/>
      <c r="H80" s="100"/>
    </row>
    <row r="81" spans="7:8" ht="20.25" x14ac:dyDescent="0.2">
      <c r="G81" s="100"/>
      <c r="H81" s="100"/>
    </row>
    <row r="82" spans="7:8" ht="20.25" x14ac:dyDescent="0.2">
      <c r="G82" s="100"/>
      <c r="H82" s="100"/>
    </row>
    <row r="83" spans="7:8" ht="20.25" x14ac:dyDescent="0.2">
      <c r="G83" s="100"/>
      <c r="H83" s="100"/>
    </row>
    <row r="84" spans="7:8" ht="21" thickBot="1" x14ac:dyDescent="0.25">
      <c r="G84" s="101"/>
      <c r="H84" s="101"/>
    </row>
  </sheetData>
  <sheetProtection algorithmName="SHA-512" hashValue="DR5MTdTAHl1BSS4GM3kZ3lwLlkOTjFM0WCYRkvJvDluXqi3A1Y1W069eIickAJe6SvKgvf878SDEUruQqDc/UQ==" saltValue="X9ppzskinQ9juB6TqYhiLw==" spinCount="100000" sheet="1" objects="1" scenarios="1"/>
  <mergeCells count="20">
    <mergeCell ref="G53:H53"/>
    <mergeCell ref="Y11:Z11"/>
    <mergeCell ref="X44:Y44"/>
    <mergeCell ref="AA39:AD39"/>
    <mergeCell ref="AB44:AC44"/>
    <mergeCell ref="Y12:AB12"/>
    <mergeCell ref="Y13:AB13"/>
    <mergeCell ref="G32:H32"/>
    <mergeCell ref="G33:H33"/>
    <mergeCell ref="G9:H9"/>
    <mergeCell ref="G41:H41"/>
    <mergeCell ref="G44:H44"/>
    <mergeCell ref="G14:H14"/>
    <mergeCell ref="G18:H19"/>
    <mergeCell ref="G21:H21"/>
    <mergeCell ref="G36:H36"/>
    <mergeCell ref="G38:H38"/>
    <mergeCell ref="G39:H39"/>
    <mergeCell ref="G34:H34"/>
    <mergeCell ref="G31:H31"/>
  </mergeCells>
  <dataValidations count="10">
    <dataValidation type="whole" allowBlank="1" showInputMessage="1" showErrorMessage="1" errorTitle="توجه" error="از صفر (۰) تا صد (100)  عددی وارد نمایید" sqref="H15:H16">
      <formula1>0</formula1>
      <formula2>100</formula2>
    </dataValidation>
    <dataValidation type="list" allowBlank="1" showInputMessage="1" showErrorMessage="1" errorTitle="توجه" error="یکی از گزینه های زیر را تایپ (انتخاب) نموده و سپس کلید اینتر را بزنید_x000a__x000a_مقدماتی_x000a_پایه_x000a_ارشد_x000a_خبره_x000a_عالی_x000a_" sqref="H23">
      <formula1>$X$39:$X$43</formula1>
    </dataValidation>
    <dataValidation type="list" allowBlank="1" showInputMessage="1" showErrorMessage="1" errorTitle="توجه" error="عددی بین 4 تا 16 مطابق با آخرین حکم کارگزینی وارد نمایید" sqref="H22">
      <formula1>$X$23:$X$38</formula1>
    </dataValidation>
    <dataValidation type="list" allowBlank="1" showInputMessage="1" showErrorMessage="1" errorTitle="توجه" error="یکی از گزینه های زیر را تایپ (انتخاب) نموده و سپس کلید اینتر را بزنید_x000a__x000a_زیر دیپلم_x000a_دیپلم_x000a_فوق دیپلم_x000a_لیسانس_x000a_فوق لیسانس_x000a_دکتری_x000a_" sqref="H24">
      <formula1>$Y$5:$Y$10</formula1>
    </dataValidation>
    <dataValidation type="list" allowBlank="1" showInputMessage="1" showErrorMessage="1" errorTitle="توجه" error="از صفر (0) تا یازده (11) عددی وارد نمایید" sqref="H27">
      <formula1>$U$1:$U$12</formula1>
    </dataValidation>
    <dataValidation type="list" allowBlank="1" showInputMessage="1" showErrorMessage="1" errorTitle="توجه" error="از صفر (0) تا سی (30) عددی وارد نمایید" sqref="H26">
      <formula1>$U$1:$U$31</formula1>
    </dataValidation>
    <dataValidation type="list" allowBlank="1" showInputMessage="1" showErrorMessage="1" errorTitle="توجه" error="یکی از گزینه های زیر را تایپ (انتخاب) نمایید_x000a__x000a_ابتدایی_x000a_متوسطه_x000a_" sqref="H25">
      <formula1>$Q$2:$Q$3</formula1>
    </dataValidation>
    <dataValidation type="whole" allowBlank="1" showInputMessage="1" showErrorMessage="1" errorTitle="توجه" error="از صفر (۰) تا هزار (1000)  عددی وارد نمایید" sqref="H28">
      <formula1>0</formula1>
      <formula2>1000</formula2>
    </dataValidation>
    <dataValidation type="whole" allowBlank="1" showInputMessage="1" showErrorMessage="1" errorTitle="اخطار" error="عددی از یک تا پنجاه وارد نمایید" sqref="H42">
      <formula1>0</formula1>
      <formula2>50</formula2>
    </dataValidation>
    <dataValidation type="list" allowBlank="1" showInputMessage="1" showErrorMessage="1" errorTitle="توجه" error="یکی از گزینه های زیر را وارد نمایید_x000a__x000a_خیر_x000a_بلی_x000a__x000a_" sqref="H45">
      <formula1>$S$2:$S$3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D53"/>
  <sheetViews>
    <sheetView rightToLeft="1" zoomScaleNormal="100" zoomScaleSheetLayoutView="100" workbookViewId="0">
      <selection activeCell="J4" sqref="J4"/>
    </sheetView>
  </sheetViews>
  <sheetFormatPr defaultColWidth="9.125" defaultRowHeight="18" x14ac:dyDescent="0.2"/>
  <cols>
    <col min="1" max="1" width="3.375" style="79" customWidth="1"/>
    <col min="2" max="2" width="11.625" style="79" customWidth="1"/>
    <col min="3" max="3" width="19.75" style="79" customWidth="1"/>
    <col min="4" max="4" width="15.75" style="79" customWidth="1"/>
    <col min="5" max="5" width="3" style="79" customWidth="1"/>
    <col min="6" max="6" width="30.75" style="79" customWidth="1"/>
    <col min="7" max="7" width="15.75" style="79" customWidth="1"/>
    <col min="8" max="8" width="4.375" style="79" customWidth="1"/>
    <col min="9" max="9" width="9.125" style="79"/>
    <col min="10" max="10" width="29.125" style="79" customWidth="1"/>
    <col min="11" max="11" width="15.125" style="79" customWidth="1"/>
    <col min="12" max="15" width="9.125" style="79"/>
    <col min="16" max="16" width="14.75" style="79" bestFit="1" customWidth="1"/>
    <col min="17" max="18" width="9.125" style="79"/>
    <col min="19" max="23" width="9.125" style="80"/>
    <col min="24" max="26" width="9.125" style="79"/>
    <col min="27" max="27" width="16.125" style="79" customWidth="1"/>
    <col min="28" max="28" width="16.375" style="79" customWidth="1"/>
    <col min="29" max="16384" width="9.125" style="79"/>
  </cols>
  <sheetData>
    <row r="1" spans="1:30" ht="27.75" x14ac:dyDescent="0.75">
      <c r="A1" s="77"/>
      <c r="B1" s="309" t="s">
        <v>80</v>
      </c>
      <c r="C1" s="309"/>
      <c r="D1" s="309"/>
      <c r="E1" s="309"/>
      <c r="F1" s="309"/>
      <c r="G1" s="309"/>
      <c r="H1" s="77"/>
      <c r="I1" s="78"/>
      <c r="Y1" s="79" t="s">
        <v>81</v>
      </c>
      <c r="Z1" s="79" t="e">
        <f>IF(Y1='دستمزد 1400'!#REF!,0,0)</f>
        <v>#REF!</v>
      </c>
      <c r="AA1" s="81" t="s">
        <v>26</v>
      </c>
      <c r="AB1" s="79">
        <v>18</v>
      </c>
      <c r="AC1" s="79" t="e">
        <f>IF(AA1='دستمزد 1400'!#REF!,AB1,0)</f>
        <v>#REF!</v>
      </c>
    </row>
    <row r="2" spans="1:30" ht="21.75" x14ac:dyDescent="0.2">
      <c r="A2" s="77"/>
      <c r="B2" s="310" t="s">
        <v>82</v>
      </c>
      <c r="C2" s="310"/>
      <c r="D2" s="310"/>
      <c r="E2" s="310"/>
      <c r="F2" s="310"/>
      <c r="G2" s="310"/>
      <c r="H2" s="77"/>
      <c r="I2" s="78"/>
      <c r="S2" s="79" t="s">
        <v>83</v>
      </c>
      <c r="T2" s="79" t="s">
        <v>84</v>
      </c>
      <c r="U2" s="79" t="s">
        <v>71</v>
      </c>
      <c r="V2" s="79" t="s">
        <v>85</v>
      </c>
      <c r="W2" s="79" t="s">
        <v>8</v>
      </c>
      <c r="Y2" s="79" t="s">
        <v>86</v>
      </c>
      <c r="Z2" s="79" t="e">
        <f>IF(Y2='دستمزد 1400'!#REF!,51.9,0)</f>
        <v>#REF!</v>
      </c>
      <c r="AA2" s="81" t="s">
        <v>23</v>
      </c>
      <c r="AB2" s="79">
        <v>25</v>
      </c>
      <c r="AC2" s="79" t="e">
        <f>IF(AA2='دستمزد 1400'!#REF!,AB2,0)</f>
        <v>#REF!</v>
      </c>
    </row>
    <row r="3" spans="1:30" ht="21" thickBot="1" x14ac:dyDescent="0.25">
      <c r="A3" s="77"/>
      <c r="B3" s="311" t="s">
        <v>87</v>
      </c>
      <c r="C3" s="311"/>
      <c r="D3" s="311"/>
      <c r="E3" s="311"/>
      <c r="F3" s="311"/>
      <c r="G3" s="311"/>
      <c r="H3" s="77"/>
      <c r="I3" s="78"/>
      <c r="S3" s="82">
        <v>0</v>
      </c>
      <c r="T3" s="82">
        <v>0</v>
      </c>
      <c r="U3" s="82">
        <v>0</v>
      </c>
      <c r="V3" s="82">
        <v>0</v>
      </c>
      <c r="W3" s="79" t="s">
        <v>9</v>
      </c>
      <c r="Y3" s="79" t="s">
        <v>88</v>
      </c>
      <c r="Z3" s="79" t="e">
        <f>IF(Y3='دستمزد 1400'!#REF!,103.8,0)</f>
        <v>#REF!</v>
      </c>
      <c r="AA3" s="81" t="s">
        <v>24</v>
      </c>
      <c r="AB3" s="79">
        <v>32</v>
      </c>
      <c r="AC3" s="79" t="e">
        <f>IF(AA3='دستمزد 1400'!#REF!,AB3,0)</f>
        <v>#REF!</v>
      </c>
    </row>
    <row r="4" spans="1:30" ht="24" customHeight="1" thickBot="1" x14ac:dyDescent="0.25">
      <c r="A4" s="77"/>
      <c r="B4" s="312" t="s">
        <v>10</v>
      </c>
      <c r="C4" s="313"/>
      <c r="D4" s="83" t="s">
        <v>0</v>
      </c>
      <c r="E4" s="112"/>
      <c r="F4" s="113" t="s">
        <v>89</v>
      </c>
      <c r="G4" s="84">
        <v>2120</v>
      </c>
      <c r="H4" s="77"/>
      <c r="S4" s="82">
        <v>5</v>
      </c>
      <c r="T4" s="82">
        <v>5</v>
      </c>
      <c r="U4" s="82">
        <v>1</v>
      </c>
      <c r="V4" s="82">
        <v>1</v>
      </c>
      <c r="Y4" s="79" t="s">
        <v>5</v>
      </c>
      <c r="Z4" s="79" t="e">
        <f>SUM(Z1:Z3)</f>
        <v>#REF!</v>
      </c>
      <c r="AA4" s="81" t="s">
        <v>25</v>
      </c>
      <c r="AB4" s="79">
        <v>39</v>
      </c>
      <c r="AC4" s="79" t="e">
        <f>IF(AA4='دستمزد 1400'!#REF!,AB4,0)</f>
        <v>#REF!</v>
      </c>
    </row>
    <row r="5" spans="1:30" ht="24" customHeight="1" thickBot="1" x14ac:dyDescent="0.25">
      <c r="A5" s="77"/>
      <c r="B5" s="314" t="s">
        <v>18</v>
      </c>
      <c r="C5" s="114" t="s">
        <v>2</v>
      </c>
      <c r="D5" s="158">
        <v>4000</v>
      </c>
      <c r="E5" s="112"/>
      <c r="F5" s="115" t="s">
        <v>90</v>
      </c>
      <c r="G5" s="159" t="s">
        <v>9</v>
      </c>
      <c r="H5" s="77"/>
      <c r="S5" s="82">
        <v>6</v>
      </c>
      <c r="T5" s="82">
        <v>6</v>
      </c>
      <c r="U5" s="82">
        <v>2</v>
      </c>
      <c r="V5" s="82">
        <v>2</v>
      </c>
      <c r="AA5" s="81" t="s">
        <v>91</v>
      </c>
      <c r="AB5" s="79">
        <v>46</v>
      </c>
      <c r="AC5" s="79" t="e">
        <f>IF(AA5='دستمزد 1400'!#REF!,AB5,0)</f>
        <v>#REF!</v>
      </c>
    </row>
    <row r="6" spans="1:30" ht="24" customHeight="1" thickBot="1" x14ac:dyDescent="0.25">
      <c r="A6" s="77"/>
      <c r="B6" s="315"/>
      <c r="C6" s="118" t="s">
        <v>3</v>
      </c>
      <c r="D6" s="160">
        <v>0</v>
      </c>
      <c r="E6" s="112"/>
      <c r="F6" s="85"/>
      <c r="G6" s="85"/>
      <c r="H6" s="77"/>
      <c r="P6" s="98" t="s">
        <v>92</v>
      </c>
      <c r="Q6" s="98" t="e">
        <f>'دستمزد 1400'!#REF!*75%</f>
        <v>#REF!</v>
      </c>
      <c r="R6" s="98" t="e">
        <f>IF(Q8&gt;Q6,Q6,Q8)</f>
        <v>#REF!</v>
      </c>
      <c r="S6" s="82">
        <v>7</v>
      </c>
      <c r="T6" s="82">
        <v>7</v>
      </c>
      <c r="U6" s="82">
        <v>3</v>
      </c>
      <c r="V6" s="82">
        <v>3</v>
      </c>
      <c r="AA6" s="81" t="s">
        <v>93</v>
      </c>
      <c r="AB6" s="79">
        <v>53</v>
      </c>
      <c r="AC6" s="79" t="e">
        <f>IF(AA6='دستمزد 1400'!#REF!,AB6,0)</f>
        <v>#REF!</v>
      </c>
    </row>
    <row r="7" spans="1:30" ht="24" customHeight="1" thickBot="1" x14ac:dyDescent="0.25">
      <c r="A7" s="77"/>
      <c r="B7" s="315"/>
      <c r="C7" s="118" t="s">
        <v>4</v>
      </c>
      <c r="D7" s="160">
        <v>3188</v>
      </c>
      <c r="E7" s="112"/>
      <c r="F7" s="86" t="s">
        <v>94</v>
      </c>
      <c r="G7" s="87" t="s">
        <v>1</v>
      </c>
      <c r="H7" s="77"/>
      <c r="P7" s="98" t="s">
        <v>95</v>
      </c>
      <c r="Q7" s="98" t="e">
        <f>('دستمزد 1400'!#REF!+'دستمزد 1400'!#REF!)*75%</f>
        <v>#REF!</v>
      </c>
      <c r="R7" s="98" t="e">
        <f>IF(Q8&gt;Q7,Q7,Q8)</f>
        <v>#REF!</v>
      </c>
      <c r="S7" s="82">
        <v>8</v>
      </c>
      <c r="T7" s="82">
        <v>8</v>
      </c>
      <c r="U7" s="82">
        <v>4</v>
      </c>
      <c r="V7" s="82">
        <v>4</v>
      </c>
      <c r="Y7" s="79" t="s">
        <v>118</v>
      </c>
      <c r="AB7" s="108" t="s">
        <v>47</v>
      </c>
      <c r="AC7" s="108" t="e">
        <f>IF('دستمزد 1400'!#REF!="بلی",SUM(AC1:AC6),0)</f>
        <v>#REF!</v>
      </c>
      <c r="AD7" s="108" t="e">
        <f>AC7/12</f>
        <v>#REF!</v>
      </c>
    </row>
    <row r="8" spans="1:30" ht="24" customHeight="1" thickBot="1" x14ac:dyDescent="0.25">
      <c r="A8" s="77"/>
      <c r="B8" s="316"/>
      <c r="C8" s="116" t="s">
        <v>5</v>
      </c>
      <c r="D8" s="88">
        <f>SUM(D5:D7)</f>
        <v>7188</v>
      </c>
      <c r="E8" s="112"/>
      <c r="F8" s="113" t="s">
        <v>6</v>
      </c>
      <c r="G8" s="161">
        <v>0</v>
      </c>
      <c r="H8" s="77"/>
      <c r="P8" s="98" t="s">
        <v>96</v>
      </c>
      <c r="Q8" s="99" t="e">
        <f>'دستمزد 1400'!#REF!+'ورود اطلاعات (2)'!K11</f>
        <v>#REF!</v>
      </c>
      <c r="R8" s="98"/>
      <c r="S8" s="82">
        <v>9</v>
      </c>
      <c r="T8" s="82">
        <v>10</v>
      </c>
      <c r="U8" s="82">
        <v>5</v>
      </c>
      <c r="V8" s="82">
        <v>5</v>
      </c>
      <c r="Y8" s="79" t="s">
        <v>119</v>
      </c>
      <c r="AB8" s="108" t="s">
        <v>97</v>
      </c>
      <c r="AC8" s="108" t="e">
        <f>IF(('دستمزد 1400'!#REF!/2)&lt;500,'دستمزد 1400'!#REF!/2,500)</f>
        <v>#REF!</v>
      </c>
      <c r="AD8" s="108" t="e">
        <f>AC8</f>
        <v>#REF!</v>
      </c>
    </row>
    <row r="9" spans="1:30" ht="24" customHeight="1" thickBot="1" x14ac:dyDescent="0.25">
      <c r="A9" s="77"/>
      <c r="B9" s="307" t="s">
        <v>11</v>
      </c>
      <c r="C9" s="308"/>
      <c r="D9" s="162">
        <v>1500</v>
      </c>
      <c r="E9" s="112"/>
      <c r="F9" s="115" t="s">
        <v>7</v>
      </c>
      <c r="G9" s="163">
        <v>0</v>
      </c>
      <c r="H9" s="77"/>
      <c r="P9" s="98" t="s">
        <v>98</v>
      </c>
      <c r="Q9" s="98" t="e">
        <f>IF('دستمزد 1400'!#REF!="خیر",R6,R7)</f>
        <v>#REF!</v>
      </c>
      <c r="R9" s="98"/>
      <c r="S9" s="82">
        <v>10</v>
      </c>
      <c r="U9" s="82">
        <v>6</v>
      </c>
      <c r="V9" s="82">
        <v>6</v>
      </c>
      <c r="Y9" s="79" t="s">
        <v>120</v>
      </c>
      <c r="AB9" s="108" t="s">
        <v>125</v>
      </c>
      <c r="AC9" s="108" t="e">
        <f>Z4</f>
        <v>#REF!</v>
      </c>
      <c r="AD9" s="108" t="e">
        <f>AC9/12</f>
        <v>#REF!</v>
      </c>
    </row>
    <row r="10" spans="1:30" ht="24" customHeight="1" thickBot="1" x14ac:dyDescent="0.25">
      <c r="A10" s="77"/>
      <c r="B10" s="322" t="s">
        <v>12</v>
      </c>
      <c r="C10" s="323"/>
      <c r="D10" s="160">
        <v>0</v>
      </c>
      <c r="E10" s="112"/>
      <c r="F10" s="77"/>
      <c r="G10" s="77"/>
      <c r="H10" s="77"/>
      <c r="J10" s="77"/>
      <c r="K10" s="77"/>
      <c r="S10" s="82">
        <v>11</v>
      </c>
      <c r="U10" s="82">
        <v>7</v>
      </c>
      <c r="V10" s="82">
        <v>7</v>
      </c>
      <c r="AB10" s="108" t="s">
        <v>99</v>
      </c>
      <c r="AC10" s="108" t="e">
        <f>SUM(AC7:AC9)*'دستمزد 1400'!#REF!%</f>
        <v>#REF!</v>
      </c>
      <c r="AD10" s="108" t="e">
        <f>SUM(AD7:AD9)*'دستمزد 1400'!#REF!%</f>
        <v>#REF!</v>
      </c>
    </row>
    <row r="11" spans="1:30" ht="24" customHeight="1" x14ac:dyDescent="0.2">
      <c r="A11" s="77"/>
      <c r="B11" s="322" t="s">
        <v>13</v>
      </c>
      <c r="C11" s="323"/>
      <c r="D11" s="160">
        <v>0</v>
      </c>
      <c r="E11" s="112"/>
      <c r="F11" s="86" t="s">
        <v>94</v>
      </c>
      <c r="G11" s="87" t="s">
        <v>100</v>
      </c>
      <c r="H11" s="77"/>
      <c r="J11" s="96" t="s">
        <v>105</v>
      </c>
      <c r="K11" s="84" t="e">
        <f>IF('دستمزد 1400'!#REF!="قراردادی",AD11*80%,AC11)</f>
        <v>#REF!</v>
      </c>
      <c r="S11" s="82">
        <v>12</v>
      </c>
      <c r="U11" s="82">
        <v>8</v>
      </c>
      <c r="V11" s="82">
        <v>8</v>
      </c>
      <c r="AB11" s="108" t="s">
        <v>123</v>
      </c>
      <c r="AC11" s="109" t="e">
        <f>SUM(AC7:AC10)</f>
        <v>#REF!</v>
      </c>
      <c r="AD11" s="109" t="e">
        <f>SUM(AD7:AD10)</f>
        <v>#REF!</v>
      </c>
    </row>
    <row r="12" spans="1:30" ht="24" customHeight="1" thickBot="1" x14ac:dyDescent="0.25">
      <c r="A12" s="77"/>
      <c r="B12" s="322" t="s">
        <v>14</v>
      </c>
      <c r="C12" s="323"/>
      <c r="D12" s="160">
        <v>0</v>
      </c>
      <c r="E12" s="112"/>
      <c r="F12" s="117" t="s">
        <v>19</v>
      </c>
      <c r="G12" s="164">
        <v>21</v>
      </c>
      <c r="H12" s="77"/>
      <c r="J12" s="97" t="s">
        <v>106</v>
      </c>
      <c r="K12" s="107" t="e">
        <f>IF(Q9&gt;'دستمزد 1400'!#REF!,Q9,'دستمزد 1400'!#REF!)</f>
        <v>#REF!</v>
      </c>
      <c r="S12" s="82">
        <v>13</v>
      </c>
      <c r="U12" s="82">
        <v>9</v>
      </c>
      <c r="V12" s="82">
        <v>9</v>
      </c>
    </row>
    <row r="13" spans="1:30" ht="24" customHeight="1" x14ac:dyDescent="0.2">
      <c r="A13" s="77"/>
      <c r="B13" s="322" t="s">
        <v>15</v>
      </c>
      <c r="C13" s="323"/>
      <c r="D13" s="160">
        <v>800</v>
      </c>
      <c r="E13" s="112"/>
      <c r="F13" s="117" t="s">
        <v>20</v>
      </c>
      <c r="G13" s="165">
        <v>0</v>
      </c>
      <c r="H13" s="77"/>
      <c r="S13" s="82">
        <v>15</v>
      </c>
      <c r="U13" s="82">
        <v>10</v>
      </c>
      <c r="V13" s="82">
        <v>10</v>
      </c>
    </row>
    <row r="14" spans="1:30" ht="24" customHeight="1" x14ac:dyDescent="0.2">
      <c r="A14" s="77"/>
      <c r="B14" s="322" t="s">
        <v>16</v>
      </c>
      <c r="C14" s="323"/>
      <c r="D14" s="160">
        <v>0</v>
      </c>
      <c r="E14" s="112"/>
      <c r="F14" s="117" t="s">
        <v>21</v>
      </c>
      <c r="G14" s="165">
        <v>0</v>
      </c>
      <c r="H14" s="77"/>
      <c r="U14" s="82">
        <v>11</v>
      </c>
      <c r="V14" s="82">
        <v>11</v>
      </c>
    </row>
    <row r="15" spans="1:30" ht="24" customHeight="1" thickBot="1" x14ac:dyDescent="0.25">
      <c r="A15" s="77"/>
      <c r="B15" s="319" t="s">
        <v>17</v>
      </c>
      <c r="C15" s="320"/>
      <c r="D15" s="166">
        <v>0</v>
      </c>
      <c r="E15" s="112"/>
      <c r="F15" s="115" t="s">
        <v>101</v>
      </c>
      <c r="G15" s="159">
        <v>0</v>
      </c>
      <c r="H15" s="77"/>
      <c r="U15" s="82">
        <v>12</v>
      </c>
      <c r="V15" s="82">
        <v>12</v>
      </c>
    </row>
    <row r="16" spans="1:30" ht="20.25" thickBot="1" x14ac:dyDescent="0.25">
      <c r="A16" s="77"/>
      <c r="B16" s="89"/>
      <c r="C16" s="89"/>
      <c r="D16" s="90"/>
      <c r="E16" s="77"/>
      <c r="F16" s="77"/>
      <c r="G16" s="77"/>
      <c r="H16" s="77"/>
      <c r="U16" s="82">
        <v>13</v>
      </c>
      <c r="V16" s="82">
        <v>13</v>
      </c>
    </row>
    <row r="17" spans="1:22" ht="19.5" x14ac:dyDescent="0.2">
      <c r="A17" s="77"/>
      <c r="B17" s="317"/>
      <c r="C17" s="318"/>
      <c r="D17" s="318"/>
      <c r="E17" s="318"/>
      <c r="F17" s="318"/>
      <c r="H17" s="77"/>
      <c r="U17" s="82">
        <v>14</v>
      </c>
      <c r="V17" s="82">
        <v>14</v>
      </c>
    </row>
    <row r="18" spans="1:22" ht="20.25" thickBot="1" x14ac:dyDescent="0.25">
      <c r="A18" s="77"/>
      <c r="B18" s="319" t="s">
        <v>102</v>
      </c>
      <c r="C18" s="320"/>
      <c r="D18" s="320"/>
      <c r="E18" s="320"/>
      <c r="F18" s="320"/>
      <c r="G18" s="166" t="s">
        <v>9</v>
      </c>
      <c r="H18" s="77"/>
      <c r="U18" s="82">
        <v>15</v>
      </c>
      <c r="V18" s="82">
        <v>15</v>
      </c>
    </row>
    <row r="19" spans="1:22" ht="25.5" customHeight="1" x14ac:dyDescent="0.2">
      <c r="A19" s="77"/>
      <c r="B19" s="77"/>
      <c r="C19" s="77"/>
      <c r="D19" s="77"/>
      <c r="E19" s="91"/>
      <c r="F19" s="91"/>
      <c r="G19" s="91"/>
      <c r="H19" s="91"/>
      <c r="U19" s="82">
        <v>16</v>
      </c>
      <c r="V19" s="82">
        <v>16</v>
      </c>
    </row>
    <row r="20" spans="1:22" x14ac:dyDescent="0.2">
      <c r="A20" s="77"/>
      <c r="E20" s="91"/>
      <c r="F20" s="91"/>
      <c r="G20" s="91"/>
      <c r="H20" s="91"/>
      <c r="U20" s="82">
        <v>17</v>
      </c>
      <c r="V20" s="82">
        <v>17</v>
      </c>
    </row>
    <row r="21" spans="1:22" x14ac:dyDescent="0.2">
      <c r="A21" s="77"/>
      <c r="E21" s="91"/>
      <c r="F21" s="91"/>
      <c r="G21" s="91"/>
      <c r="H21" s="91"/>
      <c r="U21" s="82">
        <v>18</v>
      </c>
      <c r="V21" s="82">
        <v>18</v>
      </c>
    </row>
    <row r="22" spans="1:22" ht="19.5" x14ac:dyDescent="0.2">
      <c r="A22" s="77"/>
      <c r="E22" s="92"/>
      <c r="F22" s="77"/>
      <c r="G22" s="77"/>
      <c r="H22" s="91"/>
      <c r="U22" s="82">
        <v>19</v>
      </c>
      <c r="V22" s="82">
        <v>19</v>
      </c>
    </row>
    <row r="23" spans="1:22" ht="21" x14ac:dyDescent="0.55000000000000004">
      <c r="A23" s="77"/>
      <c r="E23" s="93"/>
      <c r="F23" s="321"/>
      <c r="G23" s="321"/>
      <c r="H23" s="91"/>
      <c r="U23" s="82">
        <v>20</v>
      </c>
      <c r="V23" s="82">
        <v>20</v>
      </c>
    </row>
    <row r="24" spans="1:22" x14ac:dyDescent="0.2">
      <c r="A24" s="77"/>
      <c r="E24" s="94"/>
      <c r="F24" s="326"/>
      <c r="G24" s="326"/>
      <c r="H24" s="91"/>
      <c r="U24" s="82">
        <v>21</v>
      </c>
      <c r="V24" s="82">
        <v>21</v>
      </c>
    </row>
    <row r="25" spans="1:22" ht="19.5" x14ac:dyDescent="0.2">
      <c r="A25" s="77"/>
      <c r="E25" s="77"/>
      <c r="F25" s="327"/>
      <c r="G25" s="327"/>
      <c r="H25" s="77"/>
      <c r="U25" s="82">
        <v>22</v>
      </c>
      <c r="V25" s="82">
        <v>22</v>
      </c>
    </row>
    <row r="26" spans="1:22" x14ac:dyDescent="0.2">
      <c r="A26" s="77"/>
      <c r="E26" s="95"/>
      <c r="F26" s="328"/>
      <c r="G26" s="328"/>
      <c r="H26" s="77"/>
      <c r="U26" s="82">
        <v>23</v>
      </c>
      <c r="V26" s="82">
        <v>23</v>
      </c>
    </row>
    <row r="27" spans="1:22" x14ac:dyDescent="0.2">
      <c r="A27" s="77"/>
      <c r="E27" s="77"/>
      <c r="F27" s="324"/>
      <c r="G27" s="325"/>
      <c r="H27" s="77"/>
      <c r="U27" s="82">
        <v>24</v>
      </c>
      <c r="V27" s="82">
        <v>24</v>
      </c>
    </row>
    <row r="28" spans="1:22" x14ac:dyDescent="0.2">
      <c r="A28" s="77"/>
      <c r="E28" s="77"/>
      <c r="F28" s="324"/>
      <c r="G28" s="325"/>
      <c r="H28" s="77"/>
      <c r="U28" s="82">
        <v>25</v>
      </c>
      <c r="V28" s="82">
        <v>25</v>
      </c>
    </row>
    <row r="29" spans="1:22" x14ac:dyDescent="0.2">
      <c r="A29" s="77"/>
      <c r="B29" s="77"/>
      <c r="C29" s="77"/>
      <c r="D29" s="77"/>
      <c r="E29" s="77"/>
      <c r="F29" s="77"/>
      <c r="G29" s="77"/>
      <c r="H29" s="77"/>
      <c r="U29" s="82">
        <v>26</v>
      </c>
      <c r="V29" s="82">
        <v>26</v>
      </c>
    </row>
    <row r="30" spans="1:22" x14ac:dyDescent="0.2">
      <c r="U30" s="82">
        <v>27</v>
      </c>
      <c r="V30" s="82">
        <v>27</v>
      </c>
    </row>
    <row r="31" spans="1:22" x14ac:dyDescent="0.2">
      <c r="U31" s="82">
        <v>28</v>
      </c>
      <c r="V31" s="82">
        <v>28</v>
      </c>
    </row>
    <row r="32" spans="1:22" x14ac:dyDescent="0.2">
      <c r="U32" s="82">
        <v>29</v>
      </c>
      <c r="V32" s="82">
        <v>29</v>
      </c>
    </row>
    <row r="33" spans="10:22" x14ac:dyDescent="0.2">
      <c r="U33" s="82">
        <v>30</v>
      </c>
      <c r="V33" s="82">
        <v>30</v>
      </c>
    </row>
    <row r="34" spans="10:22" x14ac:dyDescent="0.2">
      <c r="V34" s="82">
        <v>31</v>
      </c>
    </row>
    <row r="35" spans="10:22" x14ac:dyDescent="0.2">
      <c r="V35" s="82">
        <v>32</v>
      </c>
    </row>
    <row r="36" spans="10:22" x14ac:dyDescent="0.2">
      <c r="V36" s="82">
        <v>33</v>
      </c>
    </row>
    <row r="37" spans="10:22" ht="18.75" thickBot="1" x14ac:dyDescent="0.25">
      <c r="V37" s="82">
        <v>34</v>
      </c>
    </row>
    <row r="38" spans="10:22" ht="20.25" thickBot="1" x14ac:dyDescent="0.25">
      <c r="J38" s="110"/>
      <c r="K38" s="110"/>
      <c r="V38" s="82">
        <v>35</v>
      </c>
    </row>
    <row r="39" spans="10:22" ht="21.75" thickBot="1" x14ac:dyDescent="0.25">
      <c r="J39" s="103"/>
      <c r="K39" s="105"/>
      <c r="V39" s="82">
        <v>36</v>
      </c>
    </row>
    <row r="40" spans="10:22" ht="20.25" x14ac:dyDescent="0.2">
      <c r="J40" s="102"/>
      <c r="K40" s="105"/>
      <c r="V40" s="82">
        <v>37</v>
      </c>
    </row>
    <row r="41" spans="10:22" ht="20.25" x14ac:dyDescent="0.2">
      <c r="J41" s="100"/>
      <c r="K41" s="105"/>
      <c r="V41" s="82">
        <v>38</v>
      </c>
    </row>
    <row r="42" spans="10:22" ht="20.25" x14ac:dyDescent="0.2">
      <c r="J42" s="100"/>
      <c r="K42" s="105"/>
      <c r="V42" s="82">
        <v>39</v>
      </c>
    </row>
    <row r="43" spans="10:22" ht="20.25" x14ac:dyDescent="0.2">
      <c r="J43" s="100"/>
      <c r="K43" s="105"/>
      <c r="V43" s="82">
        <v>40</v>
      </c>
    </row>
    <row r="44" spans="10:22" ht="20.25" x14ac:dyDescent="0.2">
      <c r="J44" s="100"/>
      <c r="K44" s="105"/>
      <c r="V44" s="82">
        <v>41</v>
      </c>
    </row>
    <row r="45" spans="10:22" ht="21" thickBot="1" x14ac:dyDescent="0.25">
      <c r="J45" s="101"/>
      <c r="K45" s="105"/>
      <c r="V45" s="82">
        <v>42</v>
      </c>
    </row>
    <row r="46" spans="10:22" x14ac:dyDescent="0.2">
      <c r="J46" s="49"/>
      <c r="K46" s="49"/>
      <c r="V46" s="82">
        <v>43</v>
      </c>
    </row>
    <row r="47" spans="10:22" ht="24" x14ac:dyDescent="0.2">
      <c r="J47" s="76" t="s">
        <v>77</v>
      </c>
      <c r="K47" s="167">
        <v>15630000</v>
      </c>
      <c r="V47" s="82">
        <v>44</v>
      </c>
    </row>
    <row r="48" spans="10:22" ht="24" x14ac:dyDescent="0.2">
      <c r="J48" s="76" t="s">
        <v>78</v>
      </c>
      <c r="K48" s="167">
        <f>K47+(K47*15%)</f>
        <v>17974500</v>
      </c>
      <c r="V48" s="82">
        <v>45</v>
      </c>
    </row>
    <row r="49" spans="10:22" ht="24" x14ac:dyDescent="0.2">
      <c r="J49" s="76" t="s">
        <v>107</v>
      </c>
      <c r="K49" s="168" t="e">
        <f>ROUND('دستمزد 1400'!#REF!+('دستمزد 1400'!#REF!*K50%),0)</f>
        <v>#REF!</v>
      </c>
      <c r="V49" s="82">
        <v>46</v>
      </c>
    </row>
    <row r="50" spans="10:22" ht="24" x14ac:dyDescent="0.2">
      <c r="J50" s="76" t="s">
        <v>79</v>
      </c>
      <c r="K50" s="169">
        <f>IF(K52&gt;Sheet2!H10,Sheet2!H10,K52)</f>
        <v>0</v>
      </c>
      <c r="V50" s="82">
        <v>47</v>
      </c>
    </row>
    <row r="51" spans="10:22" ht="24" x14ac:dyDescent="0.2">
      <c r="J51" s="76" t="s">
        <v>112</v>
      </c>
      <c r="K51" s="170">
        <f>'جدول محاسبات'!E28/1000000</f>
        <v>0</v>
      </c>
      <c r="V51" s="82">
        <v>48</v>
      </c>
    </row>
    <row r="52" spans="10:22" ht="24" x14ac:dyDescent="0.2">
      <c r="J52" s="76" t="s">
        <v>113</v>
      </c>
      <c r="K52" s="170">
        <f>IF(K51&lt;=51,((-Sheet2!H10)/(27))*(K51-51),0)</f>
        <v>0</v>
      </c>
      <c r="V52" s="82">
        <v>49</v>
      </c>
    </row>
    <row r="53" spans="10:22" x14ac:dyDescent="0.2">
      <c r="V53" s="82">
        <v>50</v>
      </c>
    </row>
  </sheetData>
  <sheetProtection algorithmName="SHA-512" hashValue="2Ta+ZFlvYYU4oyCDvpgmsRR0G3UX8HuOPCOHf/wzzTix8tgyFzA8jlyeyeRwtQ8h0GAisCHDaBGNqBIZ41u7ng==" saltValue="Md4pE7tm/d0x261aFS3gSg==" spinCount="100000" sheet="1" objects="1" scenarios="1"/>
  <mergeCells count="20">
    <mergeCell ref="F28:G28"/>
    <mergeCell ref="F24:G24"/>
    <mergeCell ref="F25:G25"/>
    <mergeCell ref="F26:G26"/>
    <mergeCell ref="F27:G27"/>
    <mergeCell ref="B17:F17"/>
    <mergeCell ref="B18:F18"/>
    <mergeCell ref="F23:G23"/>
    <mergeCell ref="B10:C10"/>
    <mergeCell ref="B11:C11"/>
    <mergeCell ref="B12:C12"/>
    <mergeCell ref="B13:C13"/>
    <mergeCell ref="B14:C14"/>
    <mergeCell ref="B15:C15"/>
    <mergeCell ref="B9:C9"/>
    <mergeCell ref="B1:G1"/>
    <mergeCell ref="B2:G2"/>
    <mergeCell ref="B3:G3"/>
    <mergeCell ref="B4:C4"/>
    <mergeCell ref="B5:B8"/>
  </mergeCells>
  <dataValidations count="5">
    <dataValidation type="list" allowBlank="1" showInputMessage="1" showErrorMessage="1" sqref="G5 G18">
      <formula1>$W$2:$W$3</formula1>
    </dataValidation>
    <dataValidation type="list" allowBlank="1" showInputMessage="1" showErrorMessage="1" sqref="G15">
      <formula1>$U$3:$U$33</formula1>
    </dataValidation>
    <dataValidation type="list" allowBlank="1" showInputMessage="1" showErrorMessage="1" sqref="G14">
      <formula1>$S$3:$S$13</formula1>
    </dataValidation>
    <dataValidation type="list" allowBlank="1" showInputMessage="1" showErrorMessage="1" sqref="G13">
      <formula1>$T$3:$T$8</formula1>
    </dataValidation>
    <dataValidation type="list" allowBlank="1" showInputMessage="1" showErrorMessage="1" sqref="G12">
      <formula1>$V$3:$V$53</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دستمزد 1400</vt:lpstr>
      <vt:lpstr>'جدول محاسبات'!Print_Area</vt:lpstr>
      <vt:lpstr>'دستمزد 1400'!Print_Area</vt:lpstr>
      <vt:lpstr>'ورود اطلاعات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2021-03-13T21:18:33Z</dcterms:modified>
</cp:coreProperties>
</file>