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mc:AlternateContent xmlns:mc="http://schemas.openxmlformats.org/markup-compatibility/2006">
    <mc:Choice Requires="x15">
      <x15ac:absPath xmlns:x15ac="http://schemas.microsoft.com/office/spreadsheetml/2010/11/ac" url="D:\افزایش ضریب 1401\مصوبات کمیسیون تلفیق\خالص و ناخالص\"/>
    </mc:Choice>
  </mc:AlternateContent>
  <xr:revisionPtr revIDLastSave="0" documentId="8_{E4660E10-1D24-BA4D-991A-826456E0CD11}" xr6:coauthVersionLast="47" xr6:coauthVersionMax="47" xr10:uidLastSave="{00000000-0000-0000-0000-000000000000}"/>
  <workbookProtection workbookAlgorithmName="SHA-512" workbookHashValue="bQrRfXELiAhk7CJaze7XtDMTVe7NFxAVScAsfl7GwTZNCXgBvXuEVZ1lk92QSLUU9tiS09bPdObTRRzCyG3oIg==" workbookSaltValue="IgTDzi3WJnt5C1lcut46eg==" workbookSpinCount="100000" lockStructure="1"/>
  <bookViews>
    <workbookView xWindow="-93" yWindow="-93" windowWidth="25786" windowHeight="13986" xr2:uid="{00000000-000D-0000-FFFF-FFFF00000000}"/>
  </bookViews>
  <sheets>
    <sheet name="افزایش حقوق 1401" sheetId="5" r:id="rId1"/>
    <sheet name="جداول مالیات" sheetId="8" r:id="rId2"/>
    <sheet name="1400" sheetId="1" state="veryHidden" r:id="rId3"/>
  </sheets>
  <externalReferences>
    <externalReference r:id="rId4"/>
  </externalReferences>
  <definedNames>
    <definedName name="_xlnm.Print_Area" localSheetId="0">'افزایش حقوق 1401'!$A$1:$F$31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5" l="1"/>
  <c r="G1" i="1"/>
  <c r="G4" i="8"/>
  <c r="S23" i="1"/>
  <c r="R23" i="1"/>
  <c r="S15" i="1"/>
  <c r="R15" i="1"/>
  <c r="R19" i="1"/>
  <c r="U10" i="1"/>
  <c r="R21" i="1"/>
  <c r="T21" i="1"/>
  <c r="U26" i="1"/>
  <c r="C24" i="5"/>
  <c r="R22" i="1"/>
  <c r="T22" i="1"/>
  <c r="T26" i="1"/>
  <c r="R12" i="1"/>
  <c r="R13" i="1"/>
  <c r="T13" i="1"/>
  <c r="U25" i="1"/>
  <c r="C23" i="5"/>
  <c r="R14" i="1"/>
  <c r="T14" i="1"/>
  <c r="T25" i="1"/>
  <c r="T15" i="1"/>
  <c r="S25" i="1"/>
  <c r="S19" i="1"/>
  <c r="S21" i="1"/>
  <c r="S22" i="1"/>
  <c r="T23" i="1"/>
  <c r="S26" i="1"/>
  <c r="S12" i="1"/>
  <c r="S13" i="1"/>
  <c r="S14" i="1"/>
  <c r="C12" i="5"/>
  <c r="C11" i="5"/>
  <c r="D12" i="1"/>
  <c r="C1" i="1"/>
  <c r="C13" i="5"/>
  <c r="L33" i="1"/>
  <c r="C22" i="5"/>
  <c r="C25" i="5"/>
  <c r="L30" i="1"/>
  <c r="K20" i="1"/>
  <c r="L20" i="1"/>
  <c r="F22" i="5"/>
  <c r="F23" i="5"/>
  <c r="L10" i="1"/>
  <c r="K1" i="1"/>
  <c r="O1" i="1"/>
  <c r="O20" i="1"/>
  <c r="G16" i="8"/>
  <c r="D16" i="8"/>
  <c r="K19" i="1"/>
  <c r="L19" i="1"/>
  <c r="K2" i="1"/>
  <c r="L2" i="1"/>
  <c r="O2" i="1"/>
  <c r="K21" i="1"/>
  <c r="L21" i="1"/>
  <c r="D17" i="8"/>
  <c r="M20" i="1"/>
  <c r="O19" i="1"/>
  <c r="G15" i="8"/>
  <c r="D15" i="8"/>
  <c r="K3" i="1"/>
  <c r="L3" i="1"/>
  <c r="M3" i="1"/>
  <c r="M2" i="1"/>
  <c r="O21" i="1"/>
  <c r="G17" i="8"/>
  <c r="M21" i="1"/>
  <c r="K22" i="1"/>
  <c r="K4" i="1"/>
  <c r="L4" i="1"/>
  <c r="M4" i="1"/>
  <c r="O3" i="1"/>
  <c r="L22" i="1"/>
  <c r="K23" i="1"/>
  <c r="L23" i="1"/>
  <c r="D18" i="8"/>
  <c r="M22" i="1"/>
  <c r="O22" i="1"/>
  <c r="G18" i="8"/>
  <c r="K5" i="1"/>
  <c r="M5" i="1"/>
  <c r="O4" i="1"/>
  <c r="E68" i="1"/>
  <c r="D68" i="1"/>
  <c r="C68" i="1"/>
  <c r="B68" i="1"/>
  <c r="D67" i="1"/>
  <c r="C67" i="1"/>
  <c r="B67" i="1"/>
  <c r="D66" i="1"/>
  <c r="C66" i="1"/>
  <c r="B66" i="1"/>
  <c r="D65" i="1"/>
  <c r="C65" i="1"/>
  <c r="B65" i="1"/>
  <c r="E64" i="1"/>
  <c r="D64" i="1"/>
  <c r="C64" i="1"/>
  <c r="B64" i="1"/>
  <c r="S63" i="1"/>
  <c r="R63" i="1"/>
  <c r="Q63" i="1"/>
  <c r="P63" i="1"/>
  <c r="E63" i="1"/>
  <c r="D63" i="1"/>
  <c r="C63" i="1"/>
  <c r="B63" i="1"/>
  <c r="S62" i="1"/>
  <c r="R62" i="1"/>
  <c r="Q62" i="1"/>
  <c r="P62" i="1"/>
  <c r="D62" i="1"/>
  <c r="C62" i="1"/>
  <c r="B62" i="1"/>
  <c r="S61" i="1"/>
  <c r="R61" i="1"/>
  <c r="Q61" i="1"/>
  <c r="P61" i="1"/>
  <c r="D61" i="1"/>
  <c r="C61" i="1"/>
  <c r="B61" i="1"/>
  <c r="S60" i="1"/>
  <c r="R60" i="1"/>
  <c r="Q60" i="1"/>
  <c r="P60" i="1"/>
  <c r="D60" i="1"/>
  <c r="C60" i="1"/>
  <c r="B60" i="1"/>
  <c r="S59" i="1"/>
  <c r="R59" i="1"/>
  <c r="Q59" i="1"/>
  <c r="P59" i="1"/>
  <c r="E59" i="1"/>
  <c r="D59" i="1"/>
  <c r="C59" i="1"/>
  <c r="B59" i="1"/>
  <c r="S58" i="1"/>
  <c r="R58" i="1"/>
  <c r="Q58" i="1"/>
  <c r="P58" i="1"/>
  <c r="D58" i="1"/>
  <c r="C58" i="1"/>
  <c r="B58" i="1"/>
  <c r="S57" i="1"/>
  <c r="R57" i="1"/>
  <c r="Q57" i="1"/>
  <c r="P57" i="1"/>
  <c r="E57" i="1"/>
  <c r="D57" i="1"/>
  <c r="C57" i="1"/>
  <c r="B57" i="1"/>
  <c r="S56" i="1"/>
  <c r="R56" i="1"/>
  <c r="Q56" i="1"/>
  <c r="P56" i="1"/>
  <c r="E56" i="1"/>
  <c r="D56" i="1"/>
  <c r="C56" i="1"/>
  <c r="B56" i="1"/>
  <c r="S55" i="1"/>
  <c r="R55" i="1"/>
  <c r="Q55" i="1"/>
  <c r="P55" i="1"/>
  <c r="E55" i="1"/>
  <c r="D55" i="1"/>
  <c r="C55" i="1"/>
  <c r="B55" i="1"/>
  <c r="S54" i="1"/>
  <c r="R54" i="1"/>
  <c r="Q54" i="1"/>
  <c r="P54" i="1"/>
  <c r="E54" i="1"/>
  <c r="D54" i="1"/>
  <c r="C54" i="1"/>
  <c r="B54" i="1"/>
  <c r="S53" i="1"/>
  <c r="R53" i="1"/>
  <c r="Q53" i="1"/>
  <c r="P53" i="1"/>
  <c r="E53" i="1"/>
  <c r="D53" i="1"/>
  <c r="C53" i="1"/>
  <c r="B53" i="1"/>
  <c r="S52" i="1"/>
  <c r="R52" i="1"/>
  <c r="Q52" i="1"/>
  <c r="P52" i="1"/>
  <c r="R51" i="1"/>
  <c r="Q51" i="1"/>
  <c r="P51" i="1"/>
  <c r="R50" i="1"/>
  <c r="P50" i="1"/>
  <c r="E50" i="1"/>
  <c r="D50" i="1"/>
  <c r="C50" i="1"/>
  <c r="B50" i="1"/>
  <c r="R49" i="1"/>
  <c r="P49" i="1"/>
  <c r="E49" i="1"/>
  <c r="D49" i="1"/>
  <c r="B49" i="1"/>
  <c r="P48" i="1"/>
  <c r="E48" i="1"/>
  <c r="D48" i="1"/>
  <c r="B48" i="1"/>
  <c r="K24" i="1"/>
  <c r="L24" i="1"/>
  <c r="D19" i="8"/>
  <c r="D20" i="8"/>
  <c r="O23" i="1"/>
  <c r="G19" i="8"/>
  <c r="G20" i="8"/>
  <c r="M23" i="1"/>
  <c r="L5" i="1"/>
  <c r="O5" i="1"/>
  <c r="O6" i="1"/>
  <c r="C2" i="1"/>
  <c r="D4" i="8"/>
  <c r="C19" i="1"/>
  <c r="C34" i="1"/>
  <c r="C35" i="1"/>
  <c r="C20" i="1"/>
  <c r="O24" i="1"/>
  <c r="M24" i="1"/>
  <c r="K25" i="1"/>
  <c r="D20" i="1"/>
  <c r="E20" i="1"/>
  <c r="D35" i="1"/>
  <c r="E35" i="1"/>
  <c r="D2" i="1"/>
  <c r="D5" i="8"/>
  <c r="M25" i="1"/>
  <c r="L25" i="1"/>
  <c r="K26" i="1"/>
  <c r="M26" i="1"/>
  <c r="C21" i="1"/>
  <c r="D21" i="1"/>
  <c r="E21" i="1"/>
  <c r="E2" i="1"/>
  <c r="G2" i="1"/>
  <c r="G5" i="8"/>
  <c r="C36" i="1"/>
  <c r="C3" i="1"/>
  <c r="O25" i="1"/>
  <c r="O26" i="1"/>
  <c r="C26" i="5"/>
  <c r="C27" i="5"/>
  <c r="L26" i="1"/>
  <c r="C22" i="1"/>
  <c r="D22" i="1"/>
  <c r="E22" i="1"/>
  <c r="D3" i="1"/>
  <c r="D6" i="8"/>
  <c r="D36" i="1"/>
  <c r="E36" i="1"/>
  <c r="C23" i="1"/>
  <c r="D23" i="1"/>
  <c r="E23" i="1"/>
  <c r="C37" i="1"/>
  <c r="D37" i="1"/>
  <c r="E37" i="1"/>
  <c r="G3" i="1"/>
  <c r="G6" i="8"/>
  <c r="E3" i="1"/>
  <c r="C4" i="1"/>
  <c r="D4" i="1"/>
  <c r="C24" i="1"/>
  <c r="E24" i="1"/>
  <c r="C38" i="1"/>
  <c r="E38" i="1"/>
  <c r="C5" i="1"/>
  <c r="D5" i="1"/>
  <c r="D8" i="8"/>
  <c r="D7" i="8"/>
  <c r="E4" i="1"/>
  <c r="G4" i="1"/>
  <c r="G7" i="8"/>
  <c r="G5" i="1"/>
  <c r="G8" i="8"/>
  <c r="E5" i="1"/>
  <c r="C6" i="1"/>
  <c r="D6" i="1"/>
  <c r="C7" i="1"/>
  <c r="C8" i="1"/>
  <c r="E8" i="1"/>
  <c r="D9" i="8"/>
  <c r="E6" i="1"/>
  <c r="G6" i="1"/>
  <c r="G9" i="8"/>
  <c r="D7" i="1"/>
  <c r="G7" i="1"/>
  <c r="G10" i="8"/>
  <c r="G11" i="8"/>
  <c r="E7" i="1"/>
  <c r="D10" i="8"/>
  <c r="D11" i="8"/>
  <c r="G8" i="1"/>
  <c r="C14" i="5"/>
  <c r="C15" i="5"/>
  <c r="F24" i="5"/>
  <c r="F25" i="5"/>
</calcChain>
</file>

<file path=xl/sharedStrings.xml><?xml version="1.0" encoding="utf-8"?>
<sst xmlns="http://schemas.openxmlformats.org/spreadsheetml/2006/main" count="155" uniqueCount="118">
  <si>
    <t>مساوی یا کمتر از میزان معافیت مالیاتی</t>
  </si>
  <si>
    <t>4 تا 8</t>
  </si>
  <si>
    <t>8 تا 12</t>
  </si>
  <si>
    <t>12 تا 18</t>
  </si>
  <si>
    <t>18 تا 24</t>
  </si>
  <si>
    <t>24 تا 32</t>
  </si>
  <si>
    <t>32 به بالا</t>
  </si>
  <si>
    <t>مازاد معافیت مالیاتی تا 1/5 برابر آن</t>
  </si>
  <si>
    <t>1/5 تا 2/5 برابر مازاد معافیت مالیاتی</t>
  </si>
  <si>
    <t>2/5 تا 4 برابر مازاد معافیت مالیاتی</t>
  </si>
  <si>
    <t>4 تا 6 برابر مازاد معافیت مالیاتی</t>
  </si>
  <si>
    <t>بیش از 6 برابر مازاد معافیت</t>
  </si>
  <si>
    <t>مساوی یا کمتر از میزان معافیت</t>
  </si>
  <si>
    <t>تا 3 برابر مازاد معافیت</t>
  </si>
  <si>
    <t>تا 4 برابر مازاد معافیت</t>
  </si>
  <si>
    <t>تا 6 برابر مازاد معافیت</t>
  </si>
  <si>
    <t>بیشتر از 6 برابر مازاد معافیت</t>
  </si>
  <si>
    <t>1.5</t>
  </si>
  <si>
    <t>2.5</t>
  </si>
  <si>
    <t>3.9</t>
  </si>
  <si>
    <t>7.05</t>
  </si>
  <si>
    <t>20.75</t>
  </si>
  <si>
    <t>21.75</t>
  </si>
  <si>
    <t>25.5</t>
  </si>
  <si>
    <r>
      <t>ماده 92 قانون مالیات های مستقیم-</t>
    </r>
    <r>
      <rPr>
        <sz val="16"/>
        <color rgb="FF000000"/>
        <rFont val="B Nazanin"/>
        <charset val="178"/>
      </rPr>
      <t> پنجاه‌درصد (50%) مالیات حقوق کارکنان شاغل در مناطق کمتر توسعه یافته طبق فهرست سازمان مدیریت و برنامه‌ریزی کشور بخشوده می‌شود.</t>
    </r>
  </si>
  <si>
    <t>ماده 2 آیین نامه اجرایی ماده 25 قانون حمایت از معلولان : پنجاه درصد (50%) حقوق، مزایا و دستمزد مالیات یکی از اولیای افراد دارای معلولیت شدید یا خیلی شدید اعم از اینکه در منزل یا مراکز نگهداری یا بیمارستان نگهداری شوند، مطابق شرایط این آیین‌نامه از پرداخت مالیات معاف است.</t>
  </si>
  <si>
    <t>ماده۵۶ قانون جامع خدمات رساني به ايثارگران : (صد در صد (۱۰۰%) حقوق و فوق‌العاده شغل و سایر فوق‌العاده‌ها اعم از مستمر و غیر مستمر شاهد، جانبازان و آزادگان از پرداخت مالیات معاف می‌باشند بند ذ ماده 88 قانون برنامه ششم : به ماده (56) قانون جامع خدمات‌رسانی به ایثارگران عبارت رزمندگان با حداقل دوازده ماه حضور در جبهه اضافه می‌گردد.</t>
  </si>
  <si>
    <t>تاریخ تصویب : 1368/12/16</t>
  </si>
  <si>
    <t>ماده 5 قانون اصلاح پاره ای از مقررات مربوط به پایه حقوق اعضاء رسمی هیأت علمی ( آموزشی و پژوهشی) شاغل و بازنشسته دانشگاهها و مؤسسات آموزش عالی از درآمد مشمول مالیات حقوق اعضای هیأت علمی موضوع این قانون با رعایت معافیت‌های مقرر در قانون مالیاتهای مستقیم حداکثر ده‌درصد (10%) به عنوان مالیات کسر خواهد شد.</t>
  </si>
  <si>
    <t>بیش از 4 برابر مازاد معافیت</t>
  </si>
  <si>
    <r>
      <rPr>
        <b/>
        <sz val="12"/>
        <rFont val="B Roya"/>
        <charset val="178"/>
      </rPr>
      <t>تهیه و تنظیم :</t>
    </r>
    <r>
      <rPr>
        <b/>
        <sz val="14"/>
        <rFont val="B Roya"/>
        <charset val="178"/>
      </rPr>
      <t xml:space="preserve"> صیاح الدین شهدی           کارشناس امور اداری و کارگزینی</t>
    </r>
  </si>
  <si>
    <t>اینستاگرام (instagram)</t>
  </si>
  <si>
    <t>پست الکترونیکی (Email)</t>
  </si>
  <si>
    <t>مبلغ (ریال)</t>
  </si>
  <si>
    <t>سال 1400</t>
  </si>
  <si>
    <r>
      <t>حقوق ماهیانه (</t>
    </r>
    <r>
      <rPr>
        <b/>
        <sz val="12"/>
        <color theme="4" tint="-0.499984740745262"/>
        <rFont val="B Roya"/>
        <charset val="178"/>
      </rPr>
      <t>پس از اعمال افزایش)</t>
    </r>
  </si>
  <si>
    <t>وب سایت تخصصی اداری و استخدامی شناسنامه قانون</t>
  </si>
  <si>
    <r>
      <rPr>
        <b/>
        <sz val="11"/>
        <color theme="8" tint="-0.499984740745262"/>
        <rFont val="B Mitra"/>
        <charset val="178"/>
      </rPr>
      <t xml:space="preserve">تهیه و تنظیم: </t>
    </r>
    <r>
      <rPr>
        <b/>
        <sz val="14"/>
        <color theme="8" tint="-0.499984740745262"/>
        <rFont val="B Mitra"/>
        <charset val="178"/>
      </rPr>
      <t>صیاح الدین شهدی</t>
    </r>
  </si>
  <si>
    <t>جمع حقوق و مزایای ماهیانه سال 1400 (ریال)</t>
  </si>
  <si>
    <t>سال 1401</t>
  </si>
  <si>
    <t>درصد افزایش حقوق سال 1401</t>
  </si>
  <si>
    <t>درصد افزایش خالص حقوق سال 1401</t>
  </si>
  <si>
    <t>5.6 تا 15</t>
  </si>
  <si>
    <t>15 تا 25</t>
  </si>
  <si>
    <t>25 تا 35</t>
  </si>
  <si>
    <t>35 به بالا</t>
  </si>
  <si>
    <t>مشمول کدام نظام پرداخت هستید؟</t>
  </si>
  <si>
    <t>مشمول دریافت کمک هزینه عائله مندی هستید؟</t>
  </si>
  <si>
    <t>تعداد اولاد مشمول دریافت حق اولاد؟</t>
  </si>
  <si>
    <t>قانون مدیریت خدمات کشوری</t>
  </si>
  <si>
    <t>قانون نظام هماهنگ پرداخت</t>
  </si>
  <si>
    <t>سایر</t>
  </si>
  <si>
    <t>بلی</t>
  </si>
  <si>
    <t>خیر</t>
  </si>
  <si>
    <t>مدیریت</t>
  </si>
  <si>
    <t>هماهنگ</t>
  </si>
  <si>
    <t>عائله</t>
  </si>
  <si>
    <t>اولاد</t>
  </si>
  <si>
    <t>امتیاز 1401</t>
  </si>
  <si>
    <t>امتیاز 1400</t>
  </si>
  <si>
    <t>رقم 1401</t>
  </si>
  <si>
    <t>رقم 1400</t>
  </si>
  <si>
    <t>اضافه می شود</t>
  </si>
  <si>
    <t>کسر از سال گذشته</t>
  </si>
  <si>
    <t>کسر از 1401</t>
  </si>
  <si>
    <t>لطفا جمع حقوق و مزایای ماهیانه سال 1400 خود را در کادر زرد رنگ و  بر حسب ریال وارد نمایید و به سوالات پاسخ دهید تا محاسبات بصورت خودکار انجام گیرد.</t>
  </si>
  <si>
    <t xml:space="preserve">   مقایسه خالص حقوق 1401 با خالص حقوق 1400</t>
  </si>
  <si>
    <t xml:space="preserve">   مقایسه ناخالص حقوق 1401 با ناخالص حقوق 1400</t>
  </si>
  <si>
    <t>عنوان</t>
  </si>
  <si>
    <t>نتیجه</t>
  </si>
  <si>
    <t>مانده خالص حقوق ماهیانه (پس از کسر مالیات)</t>
  </si>
  <si>
    <t>جدول محاسبه مالیات بر درآمد سال  1401</t>
  </si>
  <si>
    <t>پایه</t>
  </si>
  <si>
    <t>شرح میزان حقوق (ماهیانه)</t>
  </si>
  <si>
    <t>مبلغ حقوق (ریال)</t>
  </si>
  <si>
    <t>نرخ مالیات</t>
  </si>
  <si>
    <t>مبلغ مالیات (ریال)</t>
  </si>
  <si>
    <t>0 درصد</t>
  </si>
  <si>
    <t>مازاد معافیت مالیاتی تا 150 میلیون ریال</t>
  </si>
  <si>
    <t>10 درصد</t>
  </si>
  <si>
    <t>150 میلیون ریال تا 250 میلیون ریال</t>
  </si>
  <si>
    <t>15 درصد</t>
  </si>
  <si>
    <t>250 میلیون ریال تا 350 میلیون ریال</t>
  </si>
  <si>
    <t>20 درصد</t>
  </si>
  <si>
    <t>بیش از 350 میلیون ریال</t>
  </si>
  <si>
    <t>30 درصد</t>
  </si>
  <si>
    <t>جدول محاسبه مالیات بر درآمد سال  1400</t>
  </si>
  <si>
    <t>مازاد معافیت مالیاتی تا 80  میلیون ریال</t>
  </si>
  <si>
    <t>80 میلیون ریال تا 120 میلیون ریال</t>
  </si>
  <si>
    <t>120 میلیون ریال تا 180 میلیون ریال</t>
  </si>
  <si>
    <t>180 میلیون ریال تا 240 میلیون ریال</t>
  </si>
  <si>
    <t>240 میلیون ریال تا 320 میلیون ریال</t>
  </si>
  <si>
    <t>بیش از 320 میلیون ریال</t>
  </si>
  <si>
    <t>25 درصد</t>
  </si>
  <si>
    <t>35 درصد</t>
  </si>
  <si>
    <t>جداول ذیل با توجه به رقم وارد شده در کاربرگ محاسبه افزایش حقوق و بر اساس مبالغ مشمول مالیات در سال های 1400 و 1401 محاسبه شده است</t>
  </si>
  <si>
    <t>بازگشت به صفحه اصلی</t>
  </si>
  <si>
    <t>جمع (مشمول مالیات سال 1401) :</t>
  </si>
  <si>
    <t>جمع (مشمول مالیات سال 1400) :</t>
  </si>
  <si>
    <t>مالیات متعلقه :</t>
  </si>
  <si>
    <t>ورود به جداول محاسبه مالیات</t>
  </si>
  <si>
    <r>
      <rPr>
        <b/>
        <sz val="16"/>
        <color theme="8" tint="-0.499984740745262"/>
        <rFont val="B Roya"/>
        <charset val="178"/>
      </rPr>
      <t>نحوه افزایش حقوق کارکنان دولت (رسمی، پیمانی و قراردادی) در سال 1401</t>
    </r>
    <r>
      <rPr>
        <b/>
        <sz val="14"/>
        <color theme="4" tint="-0.499984740745262"/>
        <rFont val="B Roya"/>
        <charset val="178"/>
      </rPr>
      <t xml:space="preserve">
</t>
    </r>
    <r>
      <rPr>
        <b/>
        <sz val="12"/>
        <color theme="4" tint="-0.499984740745262"/>
        <rFont val="B Roya"/>
        <charset val="178"/>
      </rPr>
      <t>(بر اساس مصوبه کمیسیون تلفیق بودجه سال 1401 در خصوص موضوعات افزایش حقوق و مالیات حقوق کارکنان دولت)</t>
    </r>
  </si>
  <si>
    <t>نسخه 2  -  1400/11/26</t>
  </si>
  <si>
    <t>کارشناس امور اداری و کارگزینی سازمان هواشناسی کشور</t>
  </si>
  <si>
    <t>مدرس دور های آموزشی اداری و مدیریتی ضمن خدمت کارکنان دولت</t>
  </si>
  <si>
    <t>میزان افزایش حقوق سال 1401 (ریال)</t>
  </si>
  <si>
    <t>میزان افزایش خالص حقوق سال 1401 (ریال)</t>
  </si>
  <si>
    <t>کسر می شود کمک هزینه عائله مندی</t>
  </si>
  <si>
    <t xml:space="preserve">کسر می شود حق اولاد </t>
  </si>
  <si>
    <t>مالیات متعلقه ماهیانه</t>
  </si>
  <si>
    <t>مانده حقوق ماهیانه مشمول مالیات</t>
  </si>
  <si>
    <t>حقوق ماهیانه</t>
  </si>
  <si>
    <t>کسر می شود حق اولاد</t>
  </si>
  <si>
    <t xml:space="preserve">   - مبنای محاسبه میزان و درصد افزایش خالص حقوق (پس از کسر مالیات)؛ مقایسه حقوق خالص سال 1401 با حقوق خالص سال 1400  می باشد.</t>
  </si>
  <si>
    <t>دریافت نسخه قبلی فایل اکسل (مطابق لایحه بودجه سال 1401)</t>
  </si>
  <si>
    <t xml:space="preserve">   - مبنای محاسبه میزان حقوق ماهیانه مشمول مالیات؛ مبلغ حقوق ماهیانه، منهای مبالغ مربوط به عائله مندی و اولاد می باشد.</t>
  </si>
  <si>
    <t xml:space="preserve">   - بر اساس مفاد ماده 16 قانون حمایت از خانواده و جوانی جمعیت؛ کمک هزینه عائله مندی و اولاد در سال 1401 به ترتیب مشمول افزایش 50 و 100 درصد به نسبت سال 1400 خواهند شد.</t>
  </si>
  <si>
    <t xml:space="preserve">مانده حقوق ماهیانه مشمول مالیات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</si>
</sst>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0.0"/>
    <numFmt numFmtId="166" formatCode="#,##0.0"/>
  </numFmts>
  <fonts count="39" x14ac:knownFonts="1">
    <font>
      <sz val="11"/>
      <color theme="1"/>
      <name val="Calibri"/>
      <family val="2"/>
      <scheme val="minor"/>
    </font>
    <font>
      <b/>
      <sz val="11"/>
      <color theme="1"/>
      <name val="B Roya"/>
      <charset val="178"/>
    </font>
    <font>
      <sz val="14"/>
      <color theme="1"/>
      <name val="B Nazanin"/>
      <charset val="178"/>
    </font>
    <font>
      <b/>
      <sz val="12"/>
      <color theme="1"/>
      <name val="B Roya"/>
      <charset val="178"/>
    </font>
    <font>
      <b/>
      <sz val="11"/>
      <color theme="1"/>
      <name val="B Nazanin"/>
      <charset val="178"/>
    </font>
    <font>
      <b/>
      <sz val="11"/>
      <color theme="1"/>
      <name val="Calibri"/>
      <family val="2"/>
      <scheme val="minor"/>
    </font>
    <font>
      <u/>
      <sz val="11"/>
      <color theme="10"/>
      <name val="Calibri"/>
      <family val="2"/>
      <scheme val="minor"/>
    </font>
    <font>
      <b/>
      <sz val="14"/>
      <color rgb="FFFFFF00"/>
      <name val="B Roya"/>
      <charset val="178"/>
    </font>
    <font>
      <b/>
      <sz val="16"/>
      <color rgb="FF000000"/>
      <name val="B Nazanin"/>
      <charset val="178"/>
    </font>
    <font>
      <sz val="16"/>
      <color rgb="FF000000"/>
      <name val="B Nazanin"/>
      <charset val="178"/>
    </font>
    <font>
      <sz val="12"/>
      <color rgb="FF444444"/>
      <name val="Mitra"/>
    </font>
    <font>
      <b/>
      <sz val="14"/>
      <color theme="4" tint="-0.499984740745262"/>
      <name val="B Roya"/>
      <charset val="178"/>
    </font>
    <font>
      <b/>
      <sz val="16"/>
      <color theme="8" tint="-0.499984740745262"/>
      <name val="B Roya"/>
      <charset val="178"/>
    </font>
    <font>
      <b/>
      <sz val="14"/>
      <name val="B Roya"/>
      <charset val="178"/>
    </font>
    <font>
      <b/>
      <sz val="12"/>
      <name val="B Roya"/>
      <charset val="178"/>
    </font>
    <font>
      <b/>
      <sz val="14"/>
      <color theme="1"/>
      <name val="B Roya"/>
      <charset val="178"/>
    </font>
    <font>
      <b/>
      <sz val="14"/>
      <color theme="1"/>
      <name val="B Nazanin"/>
      <charset val="178"/>
    </font>
    <font>
      <b/>
      <sz val="14"/>
      <color theme="10"/>
      <name val="B Mitra"/>
      <charset val="178"/>
    </font>
    <font>
      <b/>
      <sz val="14"/>
      <color theme="9" tint="-0.499984740745262"/>
      <name val="B Roya"/>
      <charset val="178"/>
    </font>
    <font>
      <b/>
      <sz val="24"/>
      <color rgb="FFFF0000"/>
      <name val="IranNastaliq"/>
      <family val="1"/>
    </font>
    <font>
      <b/>
      <sz val="14"/>
      <color theme="8" tint="-0.499984740745262"/>
      <name val="B Mitra"/>
      <charset val="178"/>
    </font>
    <font>
      <sz val="14"/>
      <color theme="1"/>
      <name val="Calibri"/>
      <family val="2"/>
      <scheme val="minor"/>
    </font>
    <font>
      <b/>
      <sz val="12"/>
      <color theme="4" tint="-0.499984740745262"/>
      <name val="B Roya"/>
      <charset val="178"/>
    </font>
    <font>
      <b/>
      <sz val="12"/>
      <color theme="8" tint="-0.499984740745262"/>
      <name val="B Roya"/>
      <charset val="178"/>
    </font>
    <font>
      <b/>
      <sz val="11"/>
      <color theme="8" tint="-0.499984740745262"/>
      <name val="B Mitra"/>
      <charset val="178"/>
    </font>
    <font>
      <b/>
      <sz val="12"/>
      <color theme="1"/>
      <name val="Calibri"/>
      <family val="2"/>
      <scheme val="minor"/>
    </font>
    <font>
      <b/>
      <sz val="16"/>
      <color theme="1"/>
      <name val="Calibri"/>
      <family val="2"/>
      <scheme val="minor"/>
    </font>
    <font>
      <sz val="11"/>
      <color theme="1"/>
      <name val="Calibri"/>
      <family val="2"/>
      <scheme val="minor"/>
    </font>
    <font>
      <b/>
      <sz val="12"/>
      <color theme="0" tint="-0.14999847407452621"/>
      <name val="B Mitra"/>
      <charset val="178"/>
    </font>
    <font>
      <b/>
      <sz val="14"/>
      <color rgb="FFC00000"/>
      <name val="B Roya"/>
      <charset val="178"/>
    </font>
    <font>
      <b/>
      <sz val="16"/>
      <color theme="1"/>
      <name val="B Mitra"/>
      <charset val="178"/>
    </font>
    <font>
      <b/>
      <sz val="14"/>
      <color theme="1"/>
      <name val="B Mitra"/>
      <charset val="178"/>
    </font>
    <font>
      <b/>
      <sz val="18"/>
      <name val="B Mitra"/>
      <charset val="178"/>
    </font>
    <font>
      <b/>
      <sz val="12"/>
      <color theme="1"/>
      <name val="B Nazanin"/>
      <charset val="178"/>
    </font>
    <font>
      <b/>
      <sz val="12"/>
      <color theme="0" tint="-0.249977111117893"/>
      <name val="B Roya"/>
      <charset val="178"/>
    </font>
    <font>
      <b/>
      <sz val="14"/>
      <color theme="0" tint="-0.249977111117893"/>
      <name val="B Nazanin"/>
      <charset val="178"/>
    </font>
    <font>
      <b/>
      <sz val="16"/>
      <color theme="4" tint="0.79998168889431442"/>
      <name val="B Roya"/>
      <charset val="178"/>
    </font>
    <font>
      <b/>
      <sz val="16"/>
      <color theme="6" tint="0.79998168889431442"/>
      <name val="B Roya"/>
      <charset val="178"/>
    </font>
    <font>
      <b/>
      <sz val="16"/>
      <color rgb="FFC00000"/>
      <name val="B Roya"/>
      <charset val="178"/>
    </font>
  </fonts>
  <fills count="33">
    <fill>
      <patternFill patternType="none"/>
    </fill>
    <fill>
      <patternFill patternType="gray125"/>
    </fill>
    <fill>
      <patternFill patternType="solid">
        <fgColor rgb="FFD7C1D5"/>
        <bgColor theme="4" tint="0.79998168889431442"/>
      </patternFill>
    </fill>
    <fill>
      <patternFill patternType="solid">
        <fgColor rgb="FFFFFF00"/>
        <bgColor indexed="64"/>
      </patternFill>
    </fill>
    <fill>
      <patternFill patternType="solid">
        <fgColor rgb="FFD7C1D5"/>
        <bgColor indexed="64"/>
      </patternFill>
    </fill>
    <fill>
      <patternFill patternType="solid">
        <fgColor theme="7" tint="0.59999389629810485"/>
        <bgColor theme="4" tint="0.79998168889431442"/>
      </patternFill>
    </fill>
    <fill>
      <patternFill patternType="solid">
        <fgColor theme="7" tint="0.59999389629810485"/>
        <bgColor indexed="64"/>
      </patternFill>
    </fill>
    <fill>
      <patternFill patternType="solid">
        <fgColor rgb="FFB24EBA"/>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9389629810485"/>
        <bgColor theme="4" tint="0.79998168889431442"/>
      </patternFill>
    </fill>
    <fill>
      <patternFill patternType="solid">
        <fgColor theme="4" tint="0.79998168889431442"/>
        <bgColor theme="4" tint="0.79998168889431442"/>
      </patternFill>
    </fill>
    <fill>
      <patternFill patternType="solid">
        <fgColor theme="5" tint="0.79998168889431442"/>
        <bgColor indexed="64"/>
      </patternFill>
    </fill>
    <fill>
      <patternFill patternType="solid">
        <fgColor theme="6" tint="0.79998168889431442"/>
        <bgColor indexed="64"/>
      </patternFill>
    </fill>
    <fill>
      <patternFill patternType="solid">
        <fgColor theme="6" tint="0.79998168889431442"/>
        <bgColor theme="4" tint="0.79998168889431442"/>
      </patternFill>
    </fill>
    <fill>
      <patternFill patternType="solid">
        <fgColor theme="6" tint="0.59999389629810485"/>
        <bgColor indexed="64"/>
      </patternFill>
    </fill>
    <fill>
      <patternFill patternType="solid">
        <fgColor theme="6" tint="0.59999389629810485"/>
        <bgColor theme="4" tint="0.79998168889431442"/>
      </patternFill>
    </fill>
    <fill>
      <patternFill patternType="solid">
        <fgColor theme="8" tint="0.7999816888943144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8" tint="0.59999389629810485"/>
        <bgColor theme="4" tint="0.79998168889431442"/>
      </patternFill>
    </fill>
    <fill>
      <patternFill patternType="solid">
        <fgColor theme="8" tint="0.79998168889431442"/>
        <bgColor theme="4" tint="0.79998168889431442"/>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79998168889431442"/>
        <bgColor theme="4" tint="0.79998168889431442"/>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79998168889431442"/>
        <bgColor theme="4" tint="0.79998168889431442"/>
      </patternFill>
    </fill>
    <fill>
      <patternFill patternType="solid">
        <fgColor theme="8" tint="-0.249977111117893"/>
        <bgColor indexed="64"/>
      </patternFill>
    </fill>
    <fill>
      <patternFill patternType="solid">
        <fgColor theme="4" tint="-0.249977111117893"/>
        <bgColor indexed="64"/>
      </patternFill>
    </fill>
    <fill>
      <patternFill patternType="solid">
        <fgColor theme="6" tint="-0.249977111117893"/>
        <bgColor indexed="64"/>
      </patternFill>
    </fill>
  </fills>
  <borders count="62">
    <border>
      <left/>
      <right/>
      <top/>
      <bottom/>
      <diagonal/>
    </border>
    <border>
      <left style="medium">
        <color indexed="64"/>
      </left>
      <right style="thin">
        <color rgb="FFFFFF00"/>
      </right>
      <top style="medium">
        <color rgb="FFFFFF00"/>
      </top>
      <bottom style="thin">
        <color rgb="FFFFFF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FFFF00"/>
      </right>
      <top style="thin">
        <color rgb="FFFFFF00"/>
      </top>
      <bottom style="thin">
        <color rgb="FFFFFF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rgb="FFFFFF00"/>
      </right>
      <top style="thin">
        <color rgb="FFFFFF00"/>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FFFF00"/>
      </left>
      <right style="medium">
        <color theme="8" tint="-0.249977111117893"/>
      </right>
      <top/>
      <bottom style="medium">
        <color theme="8" tint="-0.249977111117893"/>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rgb="FFFFFF00"/>
      </right>
      <top style="medium">
        <color rgb="FFFFFF00"/>
      </top>
      <bottom style="thin">
        <color rgb="FFFFFF00"/>
      </bottom>
      <diagonal/>
    </border>
    <border>
      <left/>
      <right style="thin">
        <color rgb="FFFFFF00"/>
      </right>
      <top style="thin">
        <color rgb="FFFFFF00"/>
      </top>
      <bottom style="thin">
        <color rgb="FFFFFF00"/>
      </bottom>
      <diagonal/>
    </border>
    <border>
      <left/>
      <right/>
      <top style="thin">
        <color indexed="64"/>
      </top>
      <bottom style="thin">
        <color indexed="64"/>
      </bottom>
      <diagonal/>
    </border>
    <border>
      <left/>
      <right/>
      <top style="thin">
        <color indexed="64"/>
      </top>
      <bottom/>
      <diagonal/>
    </border>
    <border>
      <left style="dotted">
        <color theme="8" tint="-0.249977111117893"/>
      </left>
      <right style="dotted">
        <color theme="8" tint="-0.249977111117893"/>
      </right>
      <top style="dotted">
        <color theme="8" tint="-0.249977111117893"/>
      </top>
      <bottom style="dotted">
        <color theme="8" tint="-0.249977111117893"/>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bottom/>
      <diagonal/>
    </border>
    <border>
      <left style="thin">
        <color indexed="64"/>
      </left>
      <right/>
      <top/>
      <bottom/>
      <diagonal/>
    </border>
    <border>
      <left style="medium">
        <color indexed="64"/>
      </left>
      <right style="thin">
        <color theme="4" tint="-0.499984740745262"/>
      </right>
      <top style="medium">
        <color indexed="64"/>
      </top>
      <bottom style="thin">
        <color theme="4" tint="-0.499984740745262"/>
      </bottom>
      <diagonal/>
    </border>
    <border>
      <left/>
      <right style="thin">
        <color theme="4" tint="-0.499984740745262"/>
      </right>
      <top style="medium">
        <color indexed="64"/>
      </top>
      <bottom style="thin">
        <color theme="4" tint="-0.499984740745262"/>
      </bottom>
      <diagonal/>
    </border>
    <border>
      <left style="thin">
        <color theme="4" tint="-0.499984740745262"/>
      </left>
      <right style="thin">
        <color theme="4" tint="-0.499984740745262"/>
      </right>
      <top style="medium">
        <color indexed="64"/>
      </top>
      <bottom style="thin">
        <color theme="4" tint="-0.499984740745262"/>
      </bottom>
      <diagonal/>
    </border>
    <border>
      <left style="thin">
        <color theme="4" tint="-0.499984740745262"/>
      </left>
      <right style="medium">
        <color indexed="64"/>
      </right>
      <top style="medium">
        <color indexed="64"/>
      </top>
      <bottom style="thin">
        <color theme="4" tint="-0.499984740745262"/>
      </bottom>
      <diagonal/>
    </border>
    <border>
      <left style="medium">
        <color indexed="64"/>
      </left>
      <right style="thin">
        <color theme="4" tint="-0.499984740745262"/>
      </right>
      <top style="thin">
        <color theme="4" tint="-0.499984740745262"/>
      </top>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style="medium">
        <color indexed="64"/>
      </right>
      <top style="thin">
        <color theme="4" tint="-0.499984740745262"/>
      </top>
      <bottom/>
      <diagonal/>
    </border>
    <border>
      <left style="medium">
        <color indexed="64"/>
      </left>
      <right style="thin">
        <color theme="4" tint="-0.499984740745262"/>
      </right>
      <top style="double">
        <color theme="4" tint="-0.499984740745262"/>
      </top>
      <bottom style="thin">
        <color theme="4" tint="-0.499984740745262"/>
      </bottom>
      <diagonal/>
    </border>
    <border>
      <left style="thin">
        <color theme="4" tint="-0.499984740745262"/>
      </left>
      <right/>
      <top style="double">
        <color theme="4" tint="-0.499984740745262"/>
      </top>
      <bottom style="thin">
        <color theme="4" tint="-0.499984740745262"/>
      </bottom>
      <diagonal/>
    </border>
    <border>
      <left style="thin">
        <color theme="4" tint="-0.499984740745262"/>
      </left>
      <right style="thin">
        <color theme="4" tint="-0.499984740745262"/>
      </right>
      <top style="double">
        <color theme="4" tint="-0.499984740745262"/>
      </top>
      <bottom style="thin">
        <color theme="4" tint="-0.499984740745262"/>
      </bottom>
      <diagonal/>
    </border>
    <border>
      <left/>
      <right style="thin">
        <color theme="4" tint="-0.499984740745262"/>
      </right>
      <top style="double">
        <color theme="4" tint="-0.499984740745262"/>
      </top>
      <bottom style="thin">
        <color theme="4" tint="-0.499984740745262"/>
      </bottom>
      <diagonal/>
    </border>
    <border>
      <left style="thin">
        <color theme="4" tint="-0.499984740745262"/>
      </left>
      <right style="medium">
        <color indexed="64"/>
      </right>
      <top style="double">
        <color theme="4" tint="-0.499984740745262"/>
      </top>
      <bottom style="thin">
        <color theme="4" tint="-0.499984740745262"/>
      </bottom>
      <diagonal/>
    </border>
    <border>
      <left style="medium">
        <color indexed="64"/>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medium">
        <color indexed="64"/>
      </right>
      <top style="thin">
        <color theme="4" tint="-0.499984740745262"/>
      </top>
      <bottom style="thin">
        <color theme="4" tint="-0.499984740745262"/>
      </bottom>
      <diagonal/>
    </border>
    <border>
      <left style="medium">
        <color indexed="64"/>
      </left>
      <right/>
      <top style="double">
        <color theme="4" tint="-0.499984740745262"/>
      </top>
      <bottom style="medium">
        <color indexed="64"/>
      </bottom>
      <diagonal/>
    </border>
    <border>
      <left/>
      <right style="thin">
        <color theme="4" tint="-0.499984740745262"/>
      </right>
      <top style="double">
        <color theme="4" tint="-0.499984740745262"/>
      </top>
      <bottom style="medium">
        <color indexed="64"/>
      </bottom>
      <diagonal/>
    </border>
    <border>
      <left style="thin">
        <color theme="4" tint="-0.499984740745262"/>
      </left>
      <right style="thin">
        <color theme="4" tint="-0.499984740745262"/>
      </right>
      <top style="double">
        <color theme="4" tint="-0.499984740745262"/>
      </top>
      <bottom style="medium">
        <color indexed="64"/>
      </bottom>
      <diagonal/>
    </border>
    <border>
      <left style="thin">
        <color theme="4" tint="-0.499984740745262"/>
      </left>
      <right/>
      <top style="double">
        <color theme="4" tint="-0.499984740745262"/>
      </top>
      <bottom style="medium">
        <color indexed="64"/>
      </bottom>
      <diagonal/>
    </border>
    <border>
      <left/>
      <right/>
      <top/>
      <bottom style="medium">
        <color indexed="64"/>
      </bottom>
      <diagonal/>
    </border>
    <border>
      <left/>
      <right style="medium">
        <color indexed="64"/>
      </right>
      <top style="double">
        <color theme="4" tint="-0.499984740745262"/>
      </top>
      <bottom style="medium">
        <color indexed="64"/>
      </bottom>
      <diagonal/>
    </border>
    <border>
      <left/>
      <right/>
      <top style="double">
        <color theme="4" tint="-0.499984740745262"/>
      </top>
      <bottom style="medium">
        <color indexed="64"/>
      </bottom>
      <diagonal/>
    </border>
    <border>
      <left/>
      <right style="dotted">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s>
  <cellStyleXfs count="2">
    <xf numFmtId="0" fontId="0" fillId="0" borderId="0"/>
    <xf numFmtId="0" fontId="6" fillId="0" borderId="0" applyNumberFormat="0" applyFill="0" applyBorder="0" applyAlignment="0" applyProtection="0"/>
  </cellStyleXfs>
  <cellXfs count="179">
    <xf numFmtId="0" fontId="0" fillId="0" borderId="0" xfId="0"/>
    <xf numFmtId="3" fontId="1" fillId="2" borderId="1" xfId="0" applyNumberFormat="1" applyFont="1" applyFill="1" applyBorder="1" applyAlignment="1" applyProtection="1">
      <alignment horizontal="center" vertical="center" shrinkToFit="1" readingOrder="2"/>
      <protection hidden="1"/>
    </xf>
    <xf numFmtId="164" fontId="2" fillId="3" borderId="2" xfId="0" applyNumberFormat="1" applyFont="1" applyFill="1" applyBorder="1" applyAlignment="1" applyProtection="1">
      <alignment horizontal="center"/>
      <protection hidden="1"/>
    </xf>
    <xf numFmtId="0" fontId="2" fillId="0" borderId="2" xfId="0" applyFont="1" applyBorder="1" applyAlignment="1" applyProtection="1">
      <alignment horizontal="center"/>
      <protection hidden="1"/>
    </xf>
    <xf numFmtId="0" fontId="2" fillId="0" borderId="3" xfId="0" applyFont="1" applyBorder="1" applyAlignment="1" applyProtection="1">
      <alignment horizontal="center"/>
      <protection hidden="1"/>
    </xf>
    <xf numFmtId="9" fontId="0" fillId="0" borderId="0" xfId="0" applyNumberFormat="1" applyAlignment="1" applyProtection="1">
      <alignment horizontal="center" vertical="center"/>
      <protection hidden="1"/>
    </xf>
    <xf numFmtId="3" fontId="0" fillId="0" borderId="0" xfId="0" applyNumberFormat="1" applyAlignment="1" applyProtection="1">
      <alignment horizontal="center" vertical="center"/>
      <protection hidden="1"/>
    </xf>
    <xf numFmtId="0" fontId="0" fillId="0" borderId="0" xfId="0" applyProtection="1">
      <protection hidden="1"/>
    </xf>
    <xf numFmtId="3" fontId="1" fillId="4" borderId="4" xfId="0" applyNumberFormat="1" applyFont="1" applyFill="1" applyBorder="1" applyAlignment="1" applyProtection="1">
      <alignment horizontal="center" vertical="center" shrinkToFit="1" readingOrder="2"/>
      <protection hidden="1"/>
    </xf>
    <xf numFmtId="164" fontId="2" fillId="3" borderId="5" xfId="0" applyNumberFormat="1" applyFont="1" applyFill="1" applyBorder="1" applyAlignment="1" applyProtection="1">
      <alignment horizontal="center"/>
      <protection hidden="1"/>
    </xf>
    <xf numFmtId="3" fontId="2" fillId="3" borderId="5" xfId="0" applyNumberFormat="1" applyFont="1" applyFill="1" applyBorder="1" applyAlignment="1" applyProtection="1">
      <alignment horizontal="center"/>
      <protection hidden="1"/>
    </xf>
    <xf numFmtId="3" fontId="2" fillId="3" borderId="6" xfId="0" applyNumberFormat="1" applyFont="1" applyFill="1" applyBorder="1" applyAlignment="1" applyProtection="1">
      <alignment horizontal="center"/>
      <protection hidden="1"/>
    </xf>
    <xf numFmtId="3" fontId="1" fillId="2" borderId="4" xfId="0" applyNumberFormat="1" applyFont="1" applyFill="1" applyBorder="1" applyAlignment="1" applyProtection="1">
      <alignment horizontal="center" vertical="center" shrinkToFit="1" readingOrder="2"/>
      <protection hidden="1"/>
    </xf>
    <xf numFmtId="3" fontId="1" fillId="4" borderId="0" xfId="0" applyNumberFormat="1" applyFont="1" applyFill="1" applyBorder="1" applyAlignment="1" applyProtection="1">
      <alignment horizontal="center" vertical="center" shrinkToFit="1" readingOrder="2"/>
      <protection hidden="1"/>
    </xf>
    <xf numFmtId="3" fontId="1" fillId="2" borderId="0" xfId="0" applyNumberFormat="1" applyFont="1" applyFill="1" applyAlignment="1" applyProtection="1">
      <alignment horizontal="center" vertical="center" shrinkToFit="1" readingOrder="2"/>
      <protection hidden="1"/>
    </xf>
    <xf numFmtId="164" fontId="2" fillId="0" borderId="7" xfId="0" applyNumberFormat="1" applyFont="1" applyBorder="1" applyAlignment="1" applyProtection="1">
      <alignment horizontal="center"/>
      <protection hidden="1"/>
    </xf>
    <xf numFmtId="3" fontId="2" fillId="0" borderId="7" xfId="0" applyNumberFormat="1" applyFont="1" applyBorder="1" applyAlignment="1" applyProtection="1">
      <alignment horizontal="center"/>
      <protection hidden="1"/>
    </xf>
    <xf numFmtId="3" fontId="2" fillId="0" borderId="8" xfId="0" applyNumberFormat="1" applyFont="1" applyBorder="1" applyAlignment="1" applyProtection="1">
      <alignment horizontal="center"/>
      <protection hidden="1"/>
    </xf>
    <xf numFmtId="164" fontId="0" fillId="0" borderId="0" xfId="0" applyNumberFormat="1" applyAlignment="1" applyProtection="1">
      <alignment horizontal="center" vertical="center"/>
      <protection hidden="1"/>
    </xf>
    <xf numFmtId="0" fontId="0" fillId="0" borderId="0" xfId="0" applyAlignment="1" applyProtection="1">
      <alignment horizontal="center" vertical="center"/>
      <protection hidden="1"/>
    </xf>
    <xf numFmtId="2" fontId="3" fillId="5" borderId="5" xfId="0" applyNumberFormat="1" applyFont="1" applyFill="1" applyBorder="1" applyAlignment="1" applyProtection="1">
      <alignment horizontal="center" vertical="center" readingOrder="2"/>
      <protection hidden="1"/>
    </xf>
    <xf numFmtId="2" fontId="3" fillId="6" borderId="5" xfId="0" applyNumberFormat="1" applyFont="1" applyFill="1" applyBorder="1" applyAlignment="1" applyProtection="1">
      <alignment horizontal="center" vertical="center" readingOrder="2"/>
      <protection hidden="1"/>
    </xf>
    <xf numFmtId="4" fontId="0" fillId="0" borderId="0" xfId="0" applyNumberFormat="1" applyProtection="1">
      <protection hidden="1"/>
    </xf>
    <xf numFmtId="2" fontId="3" fillId="5" borderId="9" xfId="0" applyNumberFormat="1" applyFont="1" applyFill="1" applyBorder="1" applyAlignment="1" applyProtection="1">
      <alignment horizontal="center" vertical="center" readingOrder="2"/>
      <protection hidden="1"/>
    </xf>
    <xf numFmtId="4" fontId="2" fillId="0" borderId="2" xfId="0" applyNumberFormat="1" applyFont="1" applyBorder="1" applyAlignment="1" applyProtection="1">
      <alignment horizontal="center"/>
      <protection hidden="1"/>
    </xf>
    <xf numFmtId="4" fontId="2" fillId="0" borderId="3" xfId="0" applyNumberFormat="1" applyFont="1" applyBorder="1" applyAlignment="1" applyProtection="1">
      <alignment horizontal="center"/>
      <protection hidden="1"/>
    </xf>
    <xf numFmtId="4" fontId="2" fillId="0" borderId="5" xfId="0" applyNumberFormat="1" applyFont="1" applyBorder="1" applyAlignment="1" applyProtection="1">
      <alignment horizontal="center"/>
      <protection hidden="1"/>
    </xf>
    <xf numFmtId="4" fontId="2" fillId="0" borderId="6" xfId="0" applyNumberFormat="1" applyFont="1" applyBorder="1" applyAlignment="1" applyProtection="1">
      <alignment horizontal="center"/>
      <protection hidden="1"/>
    </xf>
    <xf numFmtId="3" fontId="1" fillId="2" borderId="10" xfId="0" applyNumberFormat="1" applyFont="1" applyFill="1" applyBorder="1" applyAlignment="1" applyProtection="1">
      <alignment horizontal="center" vertical="center" shrinkToFit="1" readingOrder="2"/>
      <protection hidden="1"/>
    </xf>
    <xf numFmtId="4" fontId="2" fillId="0" borderId="7" xfId="0" applyNumberFormat="1" applyFont="1" applyBorder="1" applyAlignment="1" applyProtection="1">
      <alignment horizontal="center"/>
      <protection hidden="1"/>
    </xf>
    <xf numFmtId="4" fontId="2" fillId="0" borderId="0" xfId="0" applyNumberFormat="1" applyFont="1" applyAlignment="1" applyProtection="1">
      <alignment horizontal="center"/>
      <protection hidden="1"/>
    </xf>
    <xf numFmtId="3" fontId="4" fillId="5" borderId="11" xfId="0" applyNumberFormat="1" applyFont="1" applyFill="1" applyBorder="1" applyAlignment="1" applyProtection="1">
      <alignment horizontal="right" vertical="center"/>
      <protection hidden="1"/>
    </xf>
    <xf numFmtId="164" fontId="2" fillId="0" borderId="2" xfId="0" applyNumberFormat="1" applyFont="1" applyBorder="1" applyAlignment="1" applyProtection="1">
      <alignment horizontal="center"/>
      <protection hidden="1"/>
    </xf>
    <xf numFmtId="3" fontId="4" fillId="6" borderId="12" xfId="0" applyNumberFormat="1" applyFont="1" applyFill="1" applyBorder="1" applyAlignment="1" applyProtection="1">
      <alignment horizontal="right" vertical="center"/>
      <protection hidden="1"/>
    </xf>
    <xf numFmtId="164" fontId="2" fillId="0" borderId="5" xfId="0" applyNumberFormat="1" applyFont="1" applyBorder="1" applyAlignment="1" applyProtection="1">
      <alignment horizontal="center"/>
      <protection hidden="1"/>
    </xf>
    <xf numFmtId="0" fontId="2" fillId="0" borderId="5" xfId="0" applyFont="1" applyBorder="1" applyAlignment="1" applyProtection="1">
      <alignment horizontal="center"/>
      <protection hidden="1"/>
    </xf>
    <xf numFmtId="0" fontId="2" fillId="0" borderId="6" xfId="0" applyFont="1" applyBorder="1" applyAlignment="1" applyProtection="1">
      <alignment horizontal="center"/>
      <protection hidden="1"/>
    </xf>
    <xf numFmtId="3" fontId="4" fillId="5" borderId="12" xfId="0" applyNumberFormat="1" applyFont="1" applyFill="1" applyBorder="1" applyAlignment="1" applyProtection="1">
      <alignment horizontal="right" vertical="center"/>
      <protection hidden="1"/>
    </xf>
    <xf numFmtId="3" fontId="4" fillId="5" borderId="13" xfId="0" applyNumberFormat="1" applyFont="1" applyFill="1" applyBorder="1" applyAlignment="1" applyProtection="1">
      <alignment horizontal="right" vertical="center"/>
      <protection hidden="1"/>
    </xf>
    <xf numFmtId="0" fontId="2" fillId="0" borderId="7" xfId="0" applyFont="1" applyBorder="1" applyAlignment="1" applyProtection="1">
      <alignment horizontal="center"/>
      <protection hidden="1"/>
    </xf>
    <xf numFmtId="0" fontId="2" fillId="0" borderId="8" xfId="0" applyFont="1" applyBorder="1" applyAlignment="1" applyProtection="1">
      <alignment horizontal="center"/>
      <protection hidden="1"/>
    </xf>
    <xf numFmtId="0" fontId="5" fillId="0" borderId="0" xfId="0" applyFont="1" applyProtection="1">
      <protection hidden="1"/>
    </xf>
    <xf numFmtId="0" fontId="5" fillId="0" borderId="0" xfId="0" applyFont="1" applyAlignment="1" applyProtection="1">
      <alignment horizontal="center" vertical="center"/>
      <protection hidden="1"/>
    </xf>
    <xf numFmtId="0" fontId="0" fillId="0" borderId="0" xfId="0" applyAlignment="1" applyProtection="1">
      <alignment shrinkToFit="1"/>
      <protection hidden="1"/>
    </xf>
    <xf numFmtId="1" fontId="3" fillId="4" borderId="14" xfId="0" applyNumberFormat="1" applyFont="1" applyFill="1" applyBorder="1" applyAlignment="1" applyProtection="1">
      <alignment horizontal="center" vertical="center" shrinkToFit="1" readingOrder="2"/>
      <protection hidden="1"/>
    </xf>
    <xf numFmtId="3" fontId="6" fillId="0" borderId="5" xfId="1" applyNumberFormat="1" applyBorder="1" applyAlignment="1" applyProtection="1">
      <alignment horizontal="center" vertical="center" shrinkToFit="1"/>
      <protection hidden="1"/>
    </xf>
    <xf numFmtId="0" fontId="0" fillId="0" borderId="5" xfId="0"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3" fontId="5" fillId="0" borderId="5" xfId="0" applyNumberFormat="1" applyFont="1" applyBorder="1" applyAlignment="1" applyProtection="1">
      <alignment horizontal="center" vertical="center"/>
      <protection hidden="1"/>
    </xf>
    <xf numFmtId="3" fontId="3" fillId="4" borderId="14" xfId="0" applyNumberFormat="1" applyFont="1" applyFill="1" applyBorder="1" applyAlignment="1" applyProtection="1">
      <alignment horizontal="center" vertical="center" shrinkToFit="1" readingOrder="2"/>
      <protection hidden="1"/>
    </xf>
    <xf numFmtId="3" fontId="7" fillId="7" borderId="15" xfId="0" applyNumberFormat="1" applyFont="1" applyFill="1" applyBorder="1" applyAlignment="1" applyProtection="1">
      <alignment horizontal="center" vertical="center" shrinkToFit="1" readingOrder="2"/>
      <protection hidden="1"/>
    </xf>
    <xf numFmtId="3" fontId="0" fillId="0" borderId="5" xfId="0" applyNumberFormat="1" applyBorder="1" applyAlignment="1" applyProtection="1">
      <alignment horizontal="center" vertical="center"/>
      <protection hidden="1"/>
    </xf>
    <xf numFmtId="4" fontId="7" fillId="7" borderId="15" xfId="0" applyNumberFormat="1" applyFont="1" applyFill="1" applyBorder="1" applyAlignment="1" applyProtection="1">
      <alignment horizontal="center" vertical="center" shrinkToFit="1" readingOrder="2"/>
      <protection hidden="1"/>
    </xf>
    <xf numFmtId="0" fontId="10" fillId="0" borderId="0" xfId="0" applyFont="1"/>
    <xf numFmtId="3" fontId="2" fillId="0" borderId="5" xfId="0" applyNumberFormat="1" applyFont="1" applyBorder="1" applyAlignment="1" applyProtection="1">
      <alignment horizontal="center"/>
      <protection hidden="1"/>
    </xf>
    <xf numFmtId="0" fontId="2" fillId="0" borderId="16" xfId="0" applyFont="1" applyBorder="1" applyAlignment="1" applyProtection="1">
      <alignment horizontal="center"/>
      <protection hidden="1"/>
    </xf>
    <xf numFmtId="0" fontId="2" fillId="0" borderId="17" xfId="0" applyFont="1" applyBorder="1" applyAlignment="1" applyProtection="1">
      <alignment horizontal="center"/>
      <protection hidden="1"/>
    </xf>
    <xf numFmtId="0" fontId="2" fillId="0" borderId="18" xfId="0" applyFont="1" applyBorder="1" applyAlignment="1" applyProtection="1">
      <alignment horizontal="center"/>
      <protection hidden="1"/>
    </xf>
    <xf numFmtId="9" fontId="0" fillId="0" borderId="5" xfId="0" applyNumberFormat="1" applyBorder="1" applyAlignment="1" applyProtection="1">
      <alignment horizontal="center" vertical="center"/>
      <protection hidden="1"/>
    </xf>
    <xf numFmtId="3" fontId="1" fillId="2" borderId="19" xfId="0" applyNumberFormat="1" applyFont="1" applyFill="1" applyBorder="1" applyAlignment="1" applyProtection="1">
      <alignment horizontal="center" vertical="center" shrinkToFit="1" readingOrder="2"/>
      <protection hidden="1"/>
    </xf>
    <xf numFmtId="3" fontId="1" fillId="4" borderId="20" xfId="0" applyNumberFormat="1" applyFont="1" applyFill="1" applyBorder="1" applyAlignment="1" applyProtection="1">
      <alignment horizontal="center" vertical="center" shrinkToFit="1" readingOrder="2"/>
      <protection hidden="1"/>
    </xf>
    <xf numFmtId="3" fontId="1" fillId="2" borderId="20" xfId="0" applyNumberFormat="1" applyFont="1" applyFill="1" applyBorder="1" applyAlignment="1" applyProtection="1">
      <alignment horizontal="center" vertical="center" shrinkToFit="1" readingOrder="2"/>
      <protection hidden="1"/>
    </xf>
    <xf numFmtId="0" fontId="0" fillId="8" borderId="0" xfId="0" applyFill="1" applyProtection="1">
      <protection hidden="1"/>
    </xf>
    <xf numFmtId="0" fontId="16" fillId="8" borderId="0" xfId="0" applyFont="1" applyFill="1" applyAlignment="1" applyProtection="1">
      <alignment horizontal="center" shrinkToFit="1"/>
      <protection hidden="1"/>
    </xf>
    <xf numFmtId="0" fontId="19" fillId="8" borderId="0" xfId="0" applyFont="1" applyFill="1" applyAlignment="1" applyProtection="1">
      <alignment vertical="center"/>
      <protection hidden="1"/>
    </xf>
    <xf numFmtId="0" fontId="17" fillId="8" borderId="0" xfId="1" applyFont="1" applyFill="1" applyAlignment="1" applyProtection="1">
      <alignment horizontal="center" shrinkToFit="1"/>
      <protection hidden="1"/>
    </xf>
    <xf numFmtId="3" fontId="18" fillId="10" borderId="5" xfId="0" applyNumberFormat="1" applyFont="1" applyFill="1" applyBorder="1" applyAlignment="1" applyProtection="1">
      <alignment horizontal="center" vertical="center" shrinkToFit="1" readingOrder="2"/>
      <protection hidden="1"/>
    </xf>
    <xf numFmtId="3" fontId="18" fillId="11" borderId="5" xfId="0" applyNumberFormat="1" applyFont="1" applyFill="1" applyBorder="1" applyAlignment="1" applyProtection="1">
      <alignment horizontal="center" vertical="center" shrinkToFit="1" readingOrder="2"/>
      <protection hidden="1"/>
    </xf>
    <xf numFmtId="3" fontId="18" fillId="9" borderId="5" xfId="0" applyNumberFormat="1" applyFont="1" applyFill="1" applyBorder="1" applyAlignment="1" applyProtection="1">
      <alignment horizontal="center" vertical="center" shrinkToFit="1" readingOrder="2"/>
      <protection hidden="1"/>
    </xf>
    <xf numFmtId="3" fontId="18" fillId="12" borderId="5" xfId="0" applyNumberFormat="1" applyFont="1" applyFill="1" applyBorder="1" applyAlignment="1" applyProtection="1">
      <alignment horizontal="center" vertical="center" shrinkToFit="1" readingOrder="2"/>
      <protection hidden="1"/>
    </xf>
    <xf numFmtId="3" fontId="11" fillId="16" borderId="5" xfId="0" applyNumberFormat="1" applyFont="1" applyFill="1" applyBorder="1" applyAlignment="1" applyProtection="1">
      <alignment horizontal="center" vertical="center" shrinkToFit="1" readingOrder="2"/>
      <protection hidden="1"/>
    </xf>
    <xf numFmtId="3" fontId="11" fillId="17" borderId="5" xfId="0" applyNumberFormat="1" applyFont="1" applyFill="1" applyBorder="1" applyAlignment="1" applyProtection="1">
      <alignment horizontal="center" vertical="center" shrinkToFit="1" readingOrder="2"/>
      <protection hidden="1"/>
    </xf>
    <xf numFmtId="3" fontId="11" fillId="14" borderId="5" xfId="0" applyNumberFormat="1" applyFont="1" applyFill="1" applyBorder="1" applyAlignment="1" applyProtection="1">
      <alignment horizontal="center" vertical="center" shrinkToFit="1" readingOrder="2"/>
      <protection hidden="1"/>
    </xf>
    <xf numFmtId="3" fontId="11" fillId="15" borderId="5" xfId="0" applyNumberFormat="1" applyFont="1" applyFill="1" applyBorder="1" applyAlignment="1" applyProtection="1">
      <alignment horizontal="center" vertical="center" shrinkToFit="1" readingOrder="2"/>
      <protection hidden="1"/>
    </xf>
    <xf numFmtId="3" fontId="18" fillId="0" borderId="0" xfId="0" applyNumberFormat="1" applyFont="1" applyFill="1" applyBorder="1" applyAlignment="1" applyProtection="1">
      <alignment horizontal="center" vertical="center" shrinkToFit="1" readingOrder="2"/>
      <protection hidden="1"/>
    </xf>
    <xf numFmtId="3" fontId="15" fillId="3" borderId="25" xfId="0" applyNumberFormat="1" applyFont="1" applyFill="1" applyBorder="1" applyAlignment="1" applyProtection="1">
      <alignment horizontal="center" vertical="center" shrinkToFit="1" readingOrder="2"/>
      <protection locked="0" hidden="1"/>
    </xf>
    <xf numFmtId="0" fontId="17" fillId="8" borderId="0" xfId="1" applyFont="1" applyFill="1" applyBorder="1" applyAlignment="1" applyProtection="1">
      <alignment horizontal="center" shrinkToFit="1"/>
      <protection hidden="1"/>
    </xf>
    <xf numFmtId="3" fontId="15" fillId="19" borderId="5" xfId="0" applyNumberFormat="1" applyFont="1" applyFill="1" applyBorder="1" applyAlignment="1" applyProtection="1">
      <alignment horizontal="center" vertical="center" shrinkToFit="1" readingOrder="2"/>
      <protection hidden="1"/>
    </xf>
    <xf numFmtId="3" fontId="15" fillId="21" borderId="5" xfId="0" applyNumberFormat="1" applyFont="1" applyFill="1" applyBorder="1" applyAlignment="1" applyProtection="1">
      <alignment horizontal="center" vertical="center" shrinkToFit="1" readingOrder="2"/>
      <protection hidden="1"/>
    </xf>
    <xf numFmtId="3" fontId="15" fillId="18" borderId="5" xfId="0" applyNumberFormat="1" applyFont="1" applyFill="1" applyBorder="1" applyAlignment="1" applyProtection="1">
      <alignment horizontal="center" vertical="center" shrinkToFit="1" readingOrder="2"/>
      <protection hidden="1"/>
    </xf>
    <xf numFmtId="165" fontId="15" fillId="22" borderId="5" xfId="0" applyNumberFormat="1" applyFont="1" applyFill="1" applyBorder="1" applyAlignment="1" applyProtection="1">
      <alignment horizontal="center" vertical="center" shrinkToFit="1" readingOrder="2"/>
      <protection hidden="1"/>
    </xf>
    <xf numFmtId="166" fontId="15" fillId="22" borderId="5" xfId="0" applyNumberFormat="1" applyFont="1" applyFill="1" applyBorder="1" applyAlignment="1" applyProtection="1">
      <alignment horizontal="center" vertical="center" shrinkToFit="1" readingOrder="2"/>
      <protection hidden="1"/>
    </xf>
    <xf numFmtId="0" fontId="3" fillId="8" borderId="0" xfId="0" applyFont="1" applyFill="1" applyAlignment="1" applyProtection="1">
      <alignment horizontal="left" vertical="top" shrinkToFit="1"/>
      <protection hidden="1"/>
    </xf>
    <xf numFmtId="0" fontId="3" fillId="8" borderId="0" xfId="0" applyFont="1" applyFill="1" applyAlignment="1" applyProtection="1">
      <alignment horizontal="center" vertical="top" shrinkToFit="1"/>
      <protection hidden="1"/>
    </xf>
    <xf numFmtId="0" fontId="0" fillId="0" borderId="0" xfId="0" applyBorder="1" applyAlignment="1" applyProtection="1">
      <alignment shrinkToFit="1"/>
      <protection hidden="1"/>
    </xf>
    <xf numFmtId="0" fontId="0" fillId="0" borderId="0" xfId="0" applyBorder="1" applyProtection="1">
      <protection hidden="1"/>
    </xf>
    <xf numFmtId="3" fontId="1" fillId="4" borderId="0" xfId="0" applyNumberFormat="1" applyFont="1" applyFill="1" applyAlignment="1" applyProtection="1">
      <alignment horizontal="center" vertical="center" shrinkToFit="1" readingOrder="2"/>
      <protection hidden="1"/>
    </xf>
    <xf numFmtId="0" fontId="23" fillId="8" borderId="0" xfId="0" applyFont="1" applyFill="1" applyBorder="1" applyAlignment="1" applyProtection="1">
      <alignment horizontal="right" vertical="top" shrinkToFit="1"/>
      <protection hidden="1"/>
    </xf>
    <xf numFmtId="3" fontId="26" fillId="0" borderId="5" xfId="0" applyNumberFormat="1" applyFont="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5" xfId="0" applyFont="1" applyBorder="1" applyAlignment="1" applyProtection="1">
      <alignment horizontal="center" vertical="center"/>
      <protection hidden="1"/>
    </xf>
    <xf numFmtId="3" fontId="25" fillId="10" borderId="5" xfId="0" applyNumberFormat="1" applyFont="1" applyFill="1" applyBorder="1" applyAlignment="1" applyProtection="1">
      <alignment horizontal="center" vertical="center"/>
      <protection hidden="1"/>
    </xf>
    <xf numFmtId="0" fontId="15" fillId="20" borderId="24" xfId="0" applyFont="1" applyFill="1" applyBorder="1" applyAlignment="1" applyProtection="1">
      <alignment horizontal="center" vertical="center" shrinkToFit="1" readingOrder="2"/>
      <protection hidden="1"/>
    </xf>
    <xf numFmtId="0" fontId="13" fillId="6" borderId="32" xfId="0" applyFont="1" applyFill="1" applyBorder="1" applyAlignment="1" applyProtection="1">
      <alignment horizontal="center" vertical="center" shrinkToFit="1" readingOrder="2"/>
      <protection hidden="1"/>
    </xf>
    <xf numFmtId="0" fontId="13" fillId="6" borderId="33" xfId="0" applyFont="1" applyFill="1" applyBorder="1" applyAlignment="1" applyProtection="1">
      <alignment horizontal="center" vertical="center" wrapText="1" readingOrder="2"/>
      <protection hidden="1"/>
    </xf>
    <xf numFmtId="0" fontId="13" fillId="6" borderId="36" xfId="0" applyFont="1" applyFill="1" applyBorder="1" applyAlignment="1" applyProtection="1">
      <alignment horizontal="center" vertical="center" wrapText="1" readingOrder="2"/>
      <protection hidden="1"/>
    </xf>
    <xf numFmtId="1" fontId="3" fillId="0" borderId="37" xfId="0" applyNumberFormat="1" applyFont="1" applyBorder="1" applyAlignment="1" applyProtection="1">
      <alignment horizontal="center" vertical="center" shrinkToFit="1" readingOrder="2"/>
      <protection hidden="1"/>
    </xf>
    <xf numFmtId="3" fontId="3" fillId="0" borderId="38" xfId="0" applyNumberFormat="1" applyFont="1" applyBorder="1" applyAlignment="1" applyProtection="1">
      <alignment horizontal="center" vertical="center" shrinkToFit="1" readingOrder="2"/>
      <protection hidden="1"/>
    </xf>
    <xf numFmtId="3" fontId="3" fillId="0" borderId="39" xfId="0" applyNumberFormat="1" applyFont="1" applyBorder="1" applyAlignment="1" applyProtection="1">
      <alignment horizontal="center" vertical="center" shrinkToFit="1" readingOrder="2"/>
      <protection hidden="1"/>
    </xf>
    <xf numFmtId="3" fontId="3" fillId="0" borderId="41" xfId="0" applyNumberFormat="1" applyFont="1" applyBorder="1" applyAlignment="1" applyProtection="1">
      <alignment horizontal="center" vertical="center" shrinkToFit="1" readingOrder="2"/>
      <protection hidden="1"/>
    </xf>
    <xf numFmtId="3" fontId="3" fillId="24" borderId="42" xfId="0" applyNumberFormat="1" applyFont="1" applyFill="1" applyBorder="1" applyAlignment="1" applyProtection="1">
      <alignment horizontal="center" vertical="center" shrinkToFit="1" readingOrder="2"/>
      <protection hidden="1"/>
    </xf>
    <xf numFmtId="3" fontId="3" fillId="25" borderId="43" xfId="0" applyNumberFormat="1" applyFont="1" applyFill="1" applyBorder="1" applyAlignment="1" applyProtection="1">
      <alignment horizontal="center" vertical="center" shrinkToFit="1" readingOrder="2"/>
      <protection hidden="1"/>
    </xf>
    <xf numFmtId="3" fontId="3" fillId="25" borderId="44" xfId="0" applyNumberFormat="1" applyFont="1" applyFill="1" applyBorder="1" applyAlignment="1" applyProtection="1">
      <alignment horizontal="center" vertical="center" shrinkToFit="1" readingOrder="2"/>
      <protection hidden="1"/>
    </xf>
    <xf numFmtId="3" fontId="3" fillId="25" borderId="46" xfId="0" applyNumberFormat="1" applyFont="1" applyFill="1" applyBorder="1" applyAlignment="1" applyProtection="1">
      <alignment horizontal="center" vertical="center" shrinkToFit="1" readingOrder="2"/>
      <protection hidden="1"/>
    </xf>
    <xf numFmtId="3" fontId="3" fillId="0" borderId="42" xfId="0" applyNumberFormat="1" applyFont="1" applyBorder="1" applyAlignment="1" applyProtection="1">
      <alignment horizontal="center" vertical="center" shrinkToFit="1" readingOrder="2"/>
      <protection hidden="1"/>
    </xf>
    <xf numFmtId="3" fontId="3" fillId="0" borderId="43" xfId="0" applyNumberFormat="1" applyFont="1" applyBorder="1" applyAlignment="1" applyProtection="1">
      <alignment horizontal="center" vertical="center" shrinkToFit="1" readingOrder="2"/>
      <protection hidden="1"/>
    </xf>
    <xf numFmtId="3" fontId="3" fillId="0" borderId="44" xfId="0" applyNumberFormat="1" applyFont="1" applyBorder="1" applyAlignment="1" applyProtection="1">
      <alignment horizontal="center" vertical="center" shrinkToFit="1" readingOrder="2"/>
      <protection hidden="1"/>
    </xf>
    <xf numFmtId="3" fontId="3" fillId="0" borderId="46" xfId="0" applyNumberFormat="1" applyFont="1" applyBorder="1" applyAlignment="1" applyProtection="1">
      <alignment horizontal="center" vertical="center" shrinkToFit="1" readingOrder="2"/>
      <protection hidden="1"/>
    </xf>
    <xf numFmtId="3" fontId="29" fillId="23" borderId="48" xfId="0" applyNumberFormat="1" applyFont="1" applyFill="1" applyBorder="1" applyAlignment="1" applyProtection="1">
      <alignment horizontal="center" vertical="center" shrinkToFit="1" readingOrder="2"/>
      <protection hidden="1"/>
    </xf>
    <xf numFmtId="0" fontId="27" fillId="8" borderId="0" xfId="0" applyFont="1" applyFill="1" applyAlignment="1" applyProtection="1">
      <alignment horizontal="center" shrinkToFit="1"/>
      <protection hidden="1"/>
    </xf>
    <xf numFmtId="0" fontId="30" fillId="0" borderId="0" xfId="1" applyFont="1" applyFill="1" applyBorder="1" applyAlignment="1" applyProtection="1">
      <alignment horizontal="center" shrinkToFit="1"/>
      <protection hidden="1"/>
    </xf>
    <xf numFmtId="0" fontId="30" fillId="0" borderId="0" xfId="0" applyFont="1" applyAlignment="1" applyProtection="1">
      <alignment vertical="center"/>
      <protection hidden="1"/>
    </xf>
    <xf numFmtId="0" fontId="13" fillId="27" borderId="32" xfId="0" applyFont="1" applyFill="1" applyBorder="1" applyAlignment="1" applyProtection="1">
      <alignment horizontal="center" vertical="center" shrinkToFit="1" readingOrder="2"/>
      <protection hidden="1"/>
    </xf>
    <xf numFmtId="0" fontId="13" fillId="27" borderId="33" xfId="0" applyFont="1" applyFill="1" applyBorder="1" applyAlignment="1" applyProtection="1">
      <alignment horizontal="center" vertical="center" wrapText="1" readingOrder="2"/>
      <protection hidden="1"/>
    </xf>
    <xf numFmtId="0" fontId="13" fillId="27" borderId="36" xfId="0" applyFont="1" applyFill="1" applyBorder="1" applyAlignment="1" applyProtection="1">
      <alignment horizontal="center" vertical="center" wrapText="1" readingOrder="2"/>
      <protection hidden="1"/>
    </xf>
    <xf numFmtId="3" fontId="3" fillId="28" borderId="42" xfId="0" applyNumberFormat="1" applyFont="1" applyFill="1" applyBorder="1" applyAlignment="1" applyProtection="1">
      <alignment horizontal="center" vertical="center" shrinkToFit="1" readingOrder="2"/>
      <protection hidden="1"/>
    </xf>
    <xf numFmtId="3" fontId="3" fillId="29" borderId="43" xfId="0" applyNumberFormat="1" applyFont="1" applyFill="1" applyBorder="1" applyAlignment="1" applyProtection="1">
      <alignment horizontal="center" vertical="center" shrinkToFit="1" readingOrder="2"/>
      <protection hidden="1"/>
    </xf>
    <xf numFmtId="3" fontId="3" fillId="29" borderId="44" xfId="0" applyNumberFormat="1" applyFont="1" applyFill="1" applyBorder="1" applyAlignment="1" applyProtection="1">
      <alignment horizontal="center" vertical="center" shrinkToFit="1" readingOrder="2"/>
      <protection hidden="1"/>
    </xf>
    <xf numFmtId="3" fontId="3" fillId="29" borderId="46" xfId="0" applyNumberFormat="1" applyFont="1" applyFill="1" applyBorder="1" applyAlignment="1" applyProtection="1">
      <alignment horizontal="center" vertical="center" shrinkToFit="1" readingOrder="2"/>
      <protection hidden="1"/>
    </xf>
    <xf numFmtId="3" fontId="29" fillId="10" borderId="49" xfId="0" applyNumberFormat="1" applyFont="1" applyFill="1" applyBorder="1" applyAlignment="1" applyProtection="1">
      <alignment horizontal="center" vertical="center" shrinkToFit="1" readingOrder="2"/>
      <protection hidden="1"/>
    </xf>
    <xf numFmtId="3" fontId="29" fillId="23" borderId="52" xfId="0" applyNumberFormat="1" applyFont="1" applyFill="1" applyBorder="1" applyAlignment="1" applyProtection="1">
      <alignment horizontal="center" vertical="center" shrinkToFit="1" readingOrder="2"/>
      <protection hidden="1"/>
    </xf>
    <xf numFmtId="3" fontId="29" fillId="26" borderId="52" xfId="0" applyNumberFormat="1" applyFont="1" applyFill="1" applyBorder="1" applyAlignment="1" applyProtection="1">
      <alignment horizontal="center" vertical="center" shrinkToFit="1" readingOrder="2"/>
      <protection hidden="1"/>
    </xf>
    <xf numFmtId="3" fontId="29" fillId="26" borderId="48" xfId="0" applyNumberFormat="1" applyFont="1" applyFill="1" applyBorder="1" applyAlignment="1" applyProtection="1">
      <alignment horizontal="center" vertical="center" shrinkToFit="1" readingOrder="2"/>
      <protection hidden="1"/>
    </xf>
    <xf numFmtId="3" fontId="34" fillId="8" borderId="0" xfId="0" applyNumberFormat="1" applyFont="1" applyFill="1" applyBorder="1" applyAlignment="1" applyProtection="1">
      <alignment horizontal="center" vertical="center" shrinkToFit="1"/>
      <protection hidden="1"/>
    </xf>
    <xf numFmtId="3" fontId="35" fillId="8" borderId="26" xfId="0" applyNumberFormat="1" applyFont="1" applyFill="1" applyBorder="1" applyAlignment="1" applyProtection="1">
      <alignment horizontal="center" vertical="center" shrinkToFit="1"/>
      <protection hidden="1"/>
    </xf>
    <xf numFmtId="0" fontId="37" fillId="30" borderId="5" xfId="0" applyFont="1" applyFill="1" applyBorder="1" applyAlignment="1" applyProtection="1">
      <alignment horizontal="center" vertical="center" shrinkToFit="1" readingOrder="2"/>
      <protection hidden="1"/>
    </xf>
    <xf numFmtId="3" fontId="37" fillId="30" borderId="5" xfId="0" applyNumberFormat="1" applyFont="1" applyFill="1" applyBorder="1" applyAlignment="1" applyProtection="1">
      <alignment horizontal="center" vertical="center" shrinkToFit="1" readingOrder="2"/>
      <protection hidden="1"/>
    </xf>
    <xf numFmtId="0" fontId="36" fillId="31" borderId="5" xfId="0" applyFont="1" applyFill="1" applyBorder="1" applyAlignment="1" applyProtection="1">
      <alignment horizontal="center" vertical="center" shrinkToFit="1" readingOrder="2"/>
      <protection hidden="1"/>
    </xf>
    <xf numFmtId="3" fontId="36" fillId="31" borderId="5" xfId="0" applyNumberFormat="1" applyFont="1" applyFill="1" applyBorder="1" applyAlignment="1" applyProtection="1">
      <alignment horizontal="center" vertical="center" shrinkToFit="1" readingOrder="2"/>
      <protection hidden="1"/>
    </xf>
    <xf numFmtId="0" fontId="37" fillId="32" borderId="5" xfId="0" applyFont="1" applyFill="1" applyBorder="1" applyAlignment="1" applyProtection="1">
      <alignment horizontal="center" vertical="center" shrinkToFit="1" readingOrder="2"/>
      <protection hidden="1"/>
    </xf>
    <xf numFmtId="3" fontId="37" fillId="32" borderId="5" xfId="0" applyNumberFormat="1" applyFont="1" applyFill="1" applyBorder="1" applyAlignment="1" applyProtection="1">
      <alignment horizontal="center" vertical="center" shrinkToFit="1" readingOrder="2"/>
      <protection hidden="1"/>
    </xf>
    <xf numFmtId="0" fontId="11" fillId="8" borderId="0" xfId="0" applyFont="1" applyFill="1" applyAlignment="1" applyProtection="1">
      <alignment horizontal="center" vertical="center" wrapText="1"/>
      <protection hidden="1"/>
    </xf>
    <xf numFmtId="0" fontId="13" fillId="8" borderId="21" xfId="0" applyFont="1" applyFill="1" applyBorder="1" applyAlignment="1" applyProtection="1">
      <alignment horizontal="center" vertical="center" wrapText="1"/>
      <protection hidden="1"/>
    </xf>
    <xf numFmtId="0" fontId="12" fillId="9" borderId="23" xfId="0" applyFont="1" applyFill="1" applyBorder="1" applyAlignment="1" applyProtection="1">
      <alignment horizontal="center" vertical="center" shrinkToFit="1"/>
      <protection hidden="1"/>
    </xf>
    <xf numFmtId="0" fontId="28" fillId="0" borderId="27" xfId="0" applyFont="1" applyBorder="1" applyAlignment="1" applyProtection="1">
      <alignment horizontal="right" vertical="center"/>
      <protection hidden="1"/>
    </xf>
    <xf numFmtId="0" fontId="21" fillId="0" borderId="0" xfId="0" applyFont="1" applyBorder="1" applyAlignment="1" applyProtection="1">
      <alignment vertical="center" shrinkToFit="1"/>
      <protection hidden="1"/>
    </xf>
    <xf numFmtId="0" fontId="4" fillId="0" borderId="0" xfId="0" applyFont="1" applyAlignment="1" applyProtection="1">
      <alignment horizontal="right" vertical="top" shrinkToFit="1" readingOrder="2"/>
      <protection hidden="1"/>
    </xf>
    <xf numFmtId="0" fontId="12" fillId="13" borderId="55" xfId="0" applyFont="1" applyFill="1" applyBorder="1" applyAlignment="1" applyProtection="1">
      <alignment horizontal="center" vertical="center" shrinkToFit="1"/>
      <protection hidden="1"/>
    </xf>
    <xf numFmtId="0" fontId="12" fillId="13" borderId="56" xfId="0" applyFont="1" applyFill="1" applyBorder="1" applyAlignment="1" applyProtection="1">
      <alignment horizontal="center" vertical="center" shrinkToFit="1"/>
      <protection hidden="1"/>
    </xf>
    <xf numFmtId="0" fontId="12" fillId="13" borderId="57" xfId="0" applyFont="1" applyFill="1" applyBorder="1" applyAlignment="1" applyProtection="1">
      <alignment horizontal="center" vertical="center" shrinkToFit="1"/>
      <protection hidden="1"/>
    </xf>
    <xf numFmtId="0" fontId="12" fillId="13" borderId="54" xfId="0" applyFont="1" applyFill="1" applyBorder="1" applyAlignment="1" applyProtection="1">
      <alignment horizontal="center" vertical="center" shrinkToFit="1"/>
      <protection hidden="1"/>
    </xf>
    <xf numFmtId="0" fontId="23" fillId="8" borderId="22" xfId="0" applyFont="1" applyFill="1" applyBorder="1" applyAlignment="1" applyProtection="1">
      <alignment horizontal="center" vertical="top" shrinkToFit="1"/>
      <protection hidden="1"/>
    </xf>
    <xf numFmtId="0" fontId="12" fillId="13" borderId="58" xfId="0" applyFont="1" applyFill="1" applyBorder="1" applyAlignment="1" applyProtection="1">
      <alignment horizontal="center" vertical="top" shrinkToFit="1"/>
      <protection hidden="1"/>
    </xf>
    <xf numFmtId="0" fontId="12" fillId="13" borderId="59" xfId="0" applyFont="1" applyFill="1" applyBorder="1" applyAlignment="1" applyProtection="1">
      <alignment horizontal="center" vertical="top" shrinkToFit="1"/>
      <protection hidden="1"/>
    </xf>
    <xf numFmtId="3" fontId="38" fillId="10" borderId="60" xfId="0" applyNumberFormat="1" applyFont="1" applyFill="1" applyBorder="1" applyAlignment="1" applyProtection="1">
      <alignment horizontal="center" vertical="center" shrinkToFit="1" readingOrder="2"/>
      <protection hidden="1"/>
    </xf>
    <xf numFmtId="3" fontId="38" fillId="10" borderId="61" xfId="0" applyNumberFormat="1" applyFont="1" applyFill="1" applyBorder="1" applyAlignment="1" applyProtection="1">
      <alignment horizontal="center" vertical="center" shrinkToFit="1" readingOrder="2"/>
      <protection hidden="1"/>
    </xf>
    <xf numFmtId="0" fontId="20" fillId="8" borderId="0" xfId="0" applyFont="1" applyFill="1" applyBorder="1" applyAlignment="1" applyProtection="1">
      <alignment horizontal="center" vertical="top" shrinkToFit="1"/>
      <protection hidden="1"/>
    </xf>
    <xf numFmtId="0" fontId="20" fillId="8" borderId="0" xfId="0" applyFont="1" applyFill="1" applyBorder="1" applyAlignment="1" applyProtection="1">
      <alignment horizontal="center" shrinkToFit="1"/>
      <protection hidden="1"/>
    </xf>
    <xf numFmtId="0" fontId="33" fillId="0" borderId="51" xfId="0" applyFont="1" applyBorder="1" applyAlignment="1">
      <alignment horizontal="center" shrinkToFit="1"/>
    </xf>
    <xf numFmtId="3" fontId="3" fillId="0" borderId="43" xfId="0" applyNumberFormat="1" applyFont="1" applyBorder="1" applyAlignment="1" applyProtection="1">
      <alignment horizontal="center" vertical="center" shrinkToFit="1" readingOrder="2"/>
      <protection hidden="1"/>
    </xf>
    <xf numFmtId="3" fontId="3" fillId="0" borderId="45" xfId="0" applyNumberFormat="1" applyFont="1" applyBorder="1" applyAlignment="1" applyProtection="1">
      <alignment horizontal="center" vertical="center" shrinkToFit="1" readingOrder="2"/>
      <protection hidden="1"/>
    </xf>
    <xf numFmtId="3" fontId="29" fillId="26" borderId="47" xfId="0" applyNumberFormat="1" applyFont="1" applyFill="1" applyBorder="1" applyAlignment="1" applyProtection="1">
      <alignment horizontal="left" vertical="center" shrinkToFit="1" readingOrder="2"/>
      <protection hidden="1"/>
    </xf>
    <xf numFmtId="3" fontId="29" fillId="26" borderId="53" xfId="0" applyNumberFormat="1" applyFont="1" applyFill="1" applyBorder="1" applyAlignment="1" applyProtection="1">
      <alignment horizontal="left" vertical="center" shrinkToFit="1" readingOrder="2"/>
      <protection hidden="1"/>
    </xf>
    <xf numFmtId="3" fontId="29" fillId="26" borderId="50" xfId="0" applyNumberFormat="1" applyFont="1" applyFill="1" applyBorder="1" applyAlignment="1" applyProtection="1">
      <alignment horizontal="left" vertical="center" shrinkToFit="1" readingOrder="2"/>
      <protection hidden="1"/>
    </xf>
    <xf numFmtId="0" fontId="30" fillId="0" borderId="0" xfId="1" applyFont="1" applyFill="1" applyBorder="1" applyAlignment="1" applyProtection="1">
      <alignment horizontal="center" shrinkToFit="1"/>
      <protection hidden="1"/>
    </xf>
    <xf numFmtId="0" fontId="31" fillId="0" borderId="0" xfId="0" applyFont="1" applyAlignment="1" applyProtection="1">
      <alignment horizontal="center" vertical="top"/>
      <protection hidden="1"/>
    </xf>
    <xf numFmtId="3" fontId="3" fillId="29" borderId="43" xfId="0" applyNumberFormat="1" applyFont="1" applyFill="1" applyBorder="1" applyAlignment="1" applyProtection="1">
      <alignment horizontal="center" vertical="center" shrinkToFit="1" readingOrder="2"/>
      <protection hidden="1"/>
    </xf>
    <xf numFmtId="3" fontId="3" fillId="29" borderId="45" xfId="0" applyNumberFormat="1" applyFont="1" applyFill="1" applyBorder="1" applyAlignment="1" applyProtection="1">
      <alignment horizontal="center" vertical="center" shrinkToFit="1" readingOrder="2"/>
      <protection hidden="1"/>
    </xf>
    <xf numFmtId="0" fontId="32" fillId="26" borderId="28" xfId="0" applyFont="1" applyFill="1" applyBorder="1" applyAlignment="1" applyProtection="1">
      <alignment horizontal="center" vertical="center" shrinkToFit="1" readingOrder="2"/>
      <protection hidden="1"/>
    </xf>
    <xf numFmtId="0" fontId="32" fillId="26" borderId="29" xfId="0" applyFont="1" applyFill="1" applyBorder="1" applyAlignment="1" applyProtection="1">
      <alignment horizontal="center" vertical="center" shrinkToFit="1" readingOrder="2"/>
      <protection hidden="1"/>
    </xf>
    <xf numFmtId="0" fontId="32" fillId="26" borderId="30" xfId="0" applyFont="1" applyFill="1" applyBorder="1" applyAlignment="1" applyProtection="1">
      <alignment horizontal="center" vertical="center" shrinkToFit="1" readingOrder="2"/>
      <protection hidden="1"/>
    </xf>
    <xf numFmtId="0" fontId="32" fillId="26" borderId="31" xfId="0" applyFont="1" applyFill="1" applyBorder="1" applyAlignment="1" applyProtection="1">
      <alignment horizontal="center" vertical="center" shrinkToFit="1" readingOrder="2"/>
      <protection hidden="1"/>
    </xf>
    <xf numFmtId="0" fontId="13" fillId="27" borderId="34" xfId="0" applyFont="1" applyFill="1" applyBorder="1" applyAlignment="1" applyProtection="1">
      <alignment horizontal="center" vertical="center" wrapText="1" readingOrder="2"/>
      <protection hidden="1"/>
    </xf>
    <xf numFmtId="0" fontId="13" fillId="27" borderId="35" xfId="0" applyFont="1" applyFill="1" applyBorder="1" applyAlignment="1" applyProtection="1">
      <alignment horizontal="center" vertical="center" wrapText="1" readingOrder="2"/>
      <protection hidden="1"/>
    </xf>
    <xf numFmtId="3" fontId="3" fillId="0" borderId="38" xfId="0" applyNumberFormat="1" applyFont="1" applyBorder="1" applyAlignment="1" applyProtection="1">
      <alignment horizontal="center" vertical="center" shrinkToFit="1" readingOrder="2"/>
      <protection hidden="1"/>
    </xf>
    <xf numFmtId="3" fontId="3" fillId="0" borderId="40" xfId="0" applyNumberFormat="1" applyFont="1" applyBorder="1" applyAlignment="1" applyProtection="1">
      <alignment horizontal="center" vertical="center" shrinkToFit="1" readingOrder="2"/>
      <protection hidden="1"/>
    </xf>
    <xf numFmtId="3" fontId="29" fillId="23" borderId="47" xfId="0" applyNumberFormat="1" applyFont="1" applyFill="1" applyBorder="1" applyAlignment="1" applyProtection="1">
      <alignment horizontal="left" vertical="center" shrinkToFit="1" readingOrder="2"/>
      <protection hidden="1"/>
    </xf>
    <xf numFmtId="3" fontId="29" fillId="23" borderId="53" xfId="0" applyNumberFormat="1" applyFont="1" applyFill="1" applyBorder="1" applyAlignment="1" applyProtection="1">
      <alignment horizontal="left" vertical="center" shrinkToFit="1" readingOrder="2"/>
      <protection hidden="1"/>
    </xf>
    <xf numFmtId="3" fontId="29" fillId="23" borderId="50" xfId="0" applyNumberFormat="1" applyFont="1" applyFill="1" applyBorder="1" applyAlignment="1" applyProtection="1">
      <alignment horizontal="left" vertical="center" shrinkToFit="1" readingOrder="2"/>
      <protection hidden="1"/>
    </xf>
    <xf numFmtId="3" fontId="3" fillId="25" borderId="43" xfId="0" applyNumberFormat="1" applyFont="1" applyFill="1" applyBorder="1" applyAlignment="1" applyProtection="1">
      <alignment horizontal="center" vertical="center" shrinkToFit="1" readingOrder="2"/>
      <protection hidden="1"/>
    </xf>
    <xf numFmtId="3" fontId="3" fillId="25" borderId="45" xfId="0" applyNumberFormat="1" applyFont="1" applyFill="1" applyBorder="1" applyAlignment="1" applyProtection="1">
      <alignment horizontal="center" vertical="center" shrinkToFit="1" readingOrder="2"/>
      <protection hidden="1"/>
    </xf>
    <xf numFmtId="0" fontId="32" fillId="23" borderId="28" xfId="0" applyFont="1" applyFill="1" applyBorder="1" applyAlignment="1" applyProtection="1">
      <alignment horizontal="center" vertical="center" shrinkToFit="1" readingOrder="2"/>
      <protection hidden="1"/>
    </xf>
    <xf numFmtId="0" fontId="32" fillId="23" borderId="29" xfId="0" applyFont="1" applyFill="1" applyBorder="1" applyAlignment="1" applyProtection="1">
      <alignment horizontal="center" vertical="center" shrinkToFit="1" readingOrder="2"/>
      <protection hidden="1"/>
    </xf>
    <xf numFmtId="0" fontId="32" fillId="23" borderId="30" xfId="0" applyFont="1" applyFill="1" applyBorder="1" applyAlignment="1" applyProtection="1">
      <alignment horizontal="center" vertical="center" shrinkToFit="1" readingOrder="2"/>
      <protection hidden="1"/>
    </xf>
    <xf numFmtId="0" fontId="32" fillId="23" borderId="31" xfId="0" applyFont="1" applyFill="1" applyBorder="1" applyAlignment="1" applyProtection="1">
      <alignment horizontal="center" vertical="center" shrinkToFit="1" readingOrder="2"/>
      <protection hidden="1"/>
    </xf>
    <xf numFmtId="0" fontId="13" fillId="6" borderId="34" xfId="0" applyFont="1" applyFill="1" applyBorder="1" applyAlignment="1" applyProtection="1">
      <alignment horizontal="center" vertical="center" wrapText="1" readingOrder="2"/>
      <protection hidden="1"/>
    </xf>
    <xf numFmtId="0" fontId="13" fillId="6" borderId="35" xfId="0" applyFont="1" applyFill="1" applyBorder="1" applyAlignment="1" applyProtection="1">
      <alignment horizontal="center" vertical="center" wrapText="1" readingOrder="2"/>
      <protection hidden="1"/>
    </xf>
    <xf numFmtId="0" fontId="8" fillId="0" borderId="0" xfId="0" applyFont="1" applyAlignment="1">
      <alignment horizontal="center" vertical="center"/>
    </xf>
    <xf numFmtId="0" fontId="8" fillId="0" borderId="0" xfId="0" applyFont="1" applyAlignment="1">
      <alignment horizontal="center" vertical="center" shrinkToFi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externalLink" Target="externalLinks/externalLink1.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4</xdr:col>
      <xdr:colOff>921943</xdr:colOff>
      <xdr:row>3</xdr:row>
      <xdr:rowOff>284150</xdr:rowOff>
    </xdr:from>
    <xdr:to>
      <xdr:col>5</xdr:col>
      <xdr:colOff>156634</xdr:colOff>
      <xdr:row>5</xdr:row>
      <xdr:rowOff>279399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12090366" y="1702317"/>
          <a:ext cx="2735658" cy="833449"/>
        </a:xfrm>
        <a:prstGeom prst="rect">
          <a:avLst/>
        </a:prstGeom>
      </xdr:spPr>
    </xdr:pic>
    <xdr:clientData/>
  </xdr:twoCellAnchor>
  <xdr:twoCellAnchor>
    <xdr:from>
      <xdr:col>4</xdr:col>
      <xdr:colOff>2433109</xdr:colOff>
      <xdr:row>1</xdr:row>
      <xdr:rowOff>66675</xdr:rowOff>
    </xdr:from>
    <xdr:to>
      <xdr:col>6</xdr:col>
      <xdr:colOff>214843</xdr:colOff>
      <xdr:row>1</xdr:row>
      <xdr:rowOff>293158</xdr:rowOff>
    </xdr:to>
    <xdr:sp macro="" textlink="">
      <xdr:nvSpPr>
        <xdr:cNvPr id="3" name="Rounded Rectangle 2">
          <a:extLst>
            <a:ext uri="{FF2B5EF4-FFF2-40B4-BE49-F238E27FC236}">
              <a16:creationId xmlns:a16="http://schemas.microsoft.com/office/drawing/2014/main" id="{00000000-0008-0000-0100-000003000000}"/>
            </a:ext>
          </a:extLst>
        </xdr:cNvPr>
        <xdr:cNvSpPr/>
      </xdr:nvSpPr>
      <xdr:spPr>
        <a:xfrm>
          <a:off x="11267542657" y="775758"/>
          <a:ext cx="2067984" cy="226483"/>
        </a:xfrm>
        <a:prstGeom prst="roundRect">
          <a:avLst/>
        </a:prstGeom>
        <a:noFill/>
        <a:ln>
          <a:noFill/>
        </a:ln>
      </xdr:spPr>
      <xdr:style>
        <a:lnRef idx="0">
          <a:scrgbClr r="0" g="0" b="0"/>
        </a:lnRef>
        <a:fillRef idx="0">
          <a:scrgbClr r="0" g="0" b="0"/>
        </a:fillRef>
        <a:effectRef idx="0">
          <a:scrgbClr r="0" g="0" b="0"/>
        </a:effectRef>
        <a:fontRef idx="minor">
          <a:schemeClr val="accent1"/>
        </a:fontRef>
      </xdr:style>
      <xdr:txBody>
        <a:bodyPr wrap="square" rtlCol="1" anchor="ctr"/>
        <a:lstStyle>
          <a:defPPr>
            <a:defRPr lang="en-US"/>
          </a:defPPr>
          <a:lvl1pPr marL="0" algn="l" defTabSz="1382573" rtl="0" eaLnBrk="1" latinLnBrk="0" hangingPunct="1">
            <a:defRPr sz="2722" kern="1200">
              <a:solidFill>
                <a:schemeClr val="accent1"/>
              </a:solidFill>
              <a:latin typeface="+mn-lt"/>
              <a:ea typeface="+mn-ea"/>
              <a:cs typeface="+mn-cs"/>
            </a:defRPr>
          </a:lvl1pPr>
          <a:lvl2pPr marL="691286" algn="l" defTabSz="1382573" rtl="0" eaLnBrk="1" latinLnBrk="0" hangingPunct="1">
            <a:defRPr sz="2722" kern="1200">
              <a:solidFill>
                <a:schemeClr val="accent1"/>
              </a:solidFill>
              <a:latin typeface="+mn-lt"/>
              <a:ea typeface="+mn-ea"/>
              <a:cs typeface="+mn-cs"/>
            </a:defRPr>
          </a:lvl2pPr>
          <a:lvl3pPr marL="1382573" algn="l" defTabSz="1382573" rtl="0" eaLnBrk="1" latinLnBrk="0" hangingPunct="1">
            <a:defRPr sz="2722" kern="1200">
              <a:solidFill>
                <a:schemeClr val="accent1"/>
              </a:solidFill>
              <a:latin typeface="+mn-lt"/>
              <a:ea typeface="+mn-ea"/>
              <a:cs typeface="+mn-cs"/>
            </a:defRPr>
          </a:lvl3pPr>
          <a:lvl4pPr marL="2073859" algn="l" defTabSz="1382573" rtl="0" eaLnBrk="1" latinLnBrk="0" hangingPunct="1">
            <a:defRPr sz="2722" kern="1200">
              <a:solidFill>
                <a:schemeClr val="accent1"/>
              </a:solidFill>
              <a:latin typeface="+mn-lt"/>
              <a:ea typeface="+mn-ea"/>
              <a:cs typeface="+mn-cs"/>
            </a:defRPr>
          </a:lvl4pPr>
          <a:lvl5pPr marL="2765146" algn="l" defTabSz="1382573" rtl="0" eaLnBrk="1" latinLnBrk="0" hangingPunct="1">
            <a:defRPr sz="2722" kern="1200">
              <a:solidFill>
                <a:schemeClr val="accent1"/>
              </a:solidFill>
              <a:latin typeface="+mn-lt"/>
              <a:ea typeface="+mn-ea"/>
              <a:cs typeface="+mn-cs"/>
            </a:defRPr>
          </a:lvl5pPr>
          <a:lvl6pPr marL="3456432" algn="l" defTabSz="1382573" rtl="0" eaLnBrk="1" latinLnBrk="0" hangingPunct="1">
            <a:defRPr sz="2722" kern="1200">
              <a:solidFill>
                <a:schemeClr val="accent1"/>
              </a:solidFill>
              <a:latin typeface="+mn-lt"/>
              <a:ea typeface="+mn-ea"/>
              <a:cs typeface="+mn-cs"/>
            </a:defRPr>
          </a:lvl6pPr>
          <a:lvl7pPr marL="4147718" algn="l" defTabSz="1382573" rtl="0" eaLnBrk="1" latinLnBrk="0" hangingPunct="1">
            <a:defRPr sz="2722" kern="1200">
              <a:solidFill>
                <a:schemeClr val="accent1"/>
              </a:solidFill>
              <a:latin typeface="+mn-lt"/>
              <a:ea typeface="+mn-ea"/>
              <a:cs typeface="+mn-cs"/>
            </a:defRPr>
          </a:lvl7pPr>
          <a:lvl8pPr marL="4839005" algn="l" defTabSz="1382573" rtl="0" eaLnBrk="1" latinLnBrk="0" hangingPunct="1">
            <a:defRPr sz="2722" kern="1200">
              <a:solidFill>
                <a:schemeClr val="accent1"/>
              </a:solidFill>
              <a:latin typeface="+mn-lt"/>
              <a:ea typeface="+mn-ea"/>
              <a:cs typeface="+mn-cs"/>
            </a:defRPr>
          </a:lvl8pPr>
          <a:lvl9pPr marL="5530291" algn="l" defTabSz="1382573" rtl="0" eaLnBrk="1" latinLnBrk="0" hangingPunct="1">
            <a:defRPr sz="2722" kern="1200">
              <a:solidFill>
                <a:schemeClr val="accent1"/>
              </a:solidFill>
              <a:latin typeface="+mn-lt"/>
              <a:ea typeface="+mn-ea"/>
              <a:cs typeface="+mn-cs"/>
            </a:defRPr>
          </a:lvl9pPr>
        </a:lstStyle>
        <a:p>
          <a:pPr algn="ctr"/>
          <a:r>
            <a:rPr lang="en-US" sz="1400">
              <a:solidFill>
                <a:sysClr val="windowText" lastClr="000000"/>
              </a:solidFill>
              <a:cs typeface="B Roya" panose="00000400000000000000" pitchFamily="2" charset="-78"/>
            </a:rPr>
            <a:t>@sayah.shahdi</a:t>
          </a:r>
          <a:endParaRPr lang="fa-IR" sz="1400">
            <a:solidFill>
              <a:sysClr val="windowText" lastClr="000000"/>
            </a:solidFill>
            <a:cs typeface="B Roya" panose="00000400000000000000" pitchFamily="2" charset="-78"/>
          </a:endParaRPr>
        </a:p>
      </xdr:txBody>
    </xdr:sp>
    <xdr:clientData/>
  </xdr:twoCellAnchor>
  <xdr:twoCellAnchor>
    <xdr:from>
      <xdr:col>1</xdr:col>
      <xdr:colOff>749301</xdr:colOff>
      <xdr:row>15</xdr:row>
      <xdr:rowOff>136472</xdr:rowOff>
    </xdr:from>
    <xdr:to>
      <xdr:col>5</xdr:col>
      <xdr:colOff>546100</xdr:colOff>
      <xdr:row>18</xdr:row>
      <xdr:rowOff>291253</xdr:rowOff>
    </xdr:to>
    <xdr:sp macro="" textlink="">
      <xdr:nvSpPr>
        <xdr:cNvPr id="4" name="Down Arrow 3">
          <a:extLst>
            <a:ext uri="{FF2B5EF4-FFF2-40B4-BE49-F238E27FC236}">
              <a16:creationId xmlns:a16="http://schemas.microsoft.com/office/drawing/2014/main" id="{00000000-0008-0000-0100-000004000000}"/>
            </a:ext>
          </a:extLst>
        </xdr:cNvPr>
        <xdr:cNvSpPr/>
      </xdr:nvSpPr>
      <xdr:spPr>
        <a:xfrm>
          <a:off x="10611700900" y="5771039"/>
          <a:ext cx="8530166" cy="992981"/>
        </a:xfrm>
        <a:prstGeom prst="down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1" anchor="ctr"/>
        <a:lstStyle/>
        <a:p>
          <a:pPr algn="ctr" rtl="1"/>
          <a:r>
            <a:rPr lang="fa-IR" sz="1200" b="1">
              <a:solidFill>
                <a:schemeClr val="accent5">
                  <a:lumMod val="50000"/>
                </a:schemeClr>
              </a:solidFill>
              <a:cs typeface="B Roya" panose="00000400000000000000" pitchFamily="2" charset="-78"/>
            </a:rPr>
            <a:t>افزایش 10 درصدی ضریب ریالی حقوق</a:t>
          </a:r>
          <a:endParaRPr lang="en-US" sz="1200" b="1">
            <a:solidFill>
              <a:schemeClr val="accent5">
                <a:lumMod val="50000"/>
              </a:schemeClr>
            </a:solidFill>
            <a:cs typeface="B Roya" panose="00000400000000000000" pitchFamily="2" charset="-78"/>
          </a:endParaRPr>
        </a:p>
        <a:p>
          <a:pPr algn="ctr" rtl="1"/>
          <a:r>
            <a:rPr lang="fa-IR" sz="1200" b="1" baseline="0">
              <a:solidFill>
                <a:schemeClr val="accent5">
                  <a:lumMod val="50000"/>
                </a:schemeClr>
              </a:solidFill>
              <a:cs typeface="B Roya" panose="00000400000000000000" pitchFamily="2" charset="-78"/>
            </a:rPr>
            <a:t>و</a:t>
          </a:r>
          <a:r>
            <a:rPr lang="fa-IR" sz="1100" b="1" baseline="0">
              <a:solidFill>
                <a:schemeClr val="accent5">
                  <a:lumMod val="50000"/>
                </a:schemeClr>
              </a:solidFill>
              <a:cs typeface="B Roya" panose="00000400000000000000" pitchFamily="2" charset="-78"/>
            </a:rPr>
            <a:t> افزایش 50  درصدی کمک هزینه عائله مندی و 100 درصدی حق اولاد</a:t>
          </a:r>
          <a:endParaRPr lang="fa-IR" sz="1100" b="1">
            <a:solidFill>
              <a:schemeClr val="accent5">
                <a:lumMod val="50000"/>
              </a:schemeClr>
            </a:solidFill>
            <a:cs typeface="B Roya" panose="00000400000000000000" pitchFamily="2" charset="-7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578;&#1587;&#1578;%20&#1605;&#1575;&#1604;&#1740;&#1575;&#1578;%201401.xlsx"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00"/>
      <sheetName val="مالیات 1401"/>
      <sheetName val="مناطق کمتر توسعه یافته"/>
      <sheetName val="مستندات قانونی"/>
    </sheetNames>
    <sheetDataSet>
      <sheetData sheetId="0"/>
      <sheetData sheetId="1">
        <row r="27">
          <cell r="L27"/>
        </row>
        <row r="28">
          <cell r="L28"/>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nstagram.com/sayah.shahdi/" TargetMode="External" /><Relationship Id="rId3" Type="http://schemas.openxmlformats.org/officeDocument/2006/relationships/hyperlink" Target="https://www.instagram.com/sayah.shahdi/" TargetMode="External" /><Relationship Id="rId7" Type="http://schemas.openxmlformats.org/officeDocument/2006/relationships/hyperlink" Target="https://shenasname.ir/?p=24568" TargetMode="External" /><Relationship Id="rId2" Type="http://schemas.openxmlformats.org/officeDocument/2006/relationships/hyperlink" Target="https://www.instagram.com/sayah.shahdi" TargetMode="External" /><Relationship Id="rId1" Type="http://schemas.openxmlformats.org/officeDocument/2006/relationships/hyperlink" Target="mailto:ZhowanMarket@gmail.com" TargetMode="External" /><Relationship Id="rId6" Type="http://schemas.openxmlformats.org/officeDocument/2006/relationships/hyperlink" Target="https://www.instagram.com/sayah.shahdi/" TargetMode="External" /><Relationship Id="rId5" Type="http://schemas.openxmlformats.org/officeDocument/2006/relationships/hyperlink" Target="https://www.instagram.com/sayah.shahdi/" TargetMode="External" /><Relationship Id="rId10" Type="http://schemas.openxmlformats.org/officeDocument/2006/relationships/drawing" Target="../drawings/drawing1.xml" /><Relationship Id="rId4" Type="http://schemas.openxmlformats.org/officeDocument/2006/relationships/hyperlink" Target="https://shenasname.ir/" TargetMode="External" /><Relationship Id="rId9"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 /><Relationship Id="rId2" Type="http://schemas.openxmlformats.org/officeDocument/2006/relationships/hyperlink" Target="https://www.instagram.com/sayah.shahdi/" TargetMode="External" /><Relationship Id="rId1" Type="http://schemas.openxmlformats.org/officeDocument/2006/relationships/hyperlink" Target="https://www.instagram.com/sayah.shahdi/" TargetMode="External"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249977111117893"/>
    <pageSetUpPr fitToPage="1"/>
  </sheetPr>
  <dimension ref="A1:G40"/>
  <sheetViews>
    <sheetView showGridLines="0" showRowColHeaders="0" rightToLeft="1" tabSelected="1" zoomScale="90" zoomScaleNormal="90" workbookViewId="0"/>
  </sheetViews>
  <sheetFormatPr defaultColWidth="9.01171875" defaultRowHeight="15" x14ac:dyDescent="0.2"/>
  <cols>
    <col min="1" max="1" width="4.70703125" style="7" customWidth="1"/>
    <col min="2" max="2" width="48.6953125" style="7" customWidth="1"/>
    <col min="3" max="3" width="18.6953125" style="7" customWidth="1"/>
    <col min="4" max="4" width="5.37890625" style="7" customWidth="1"/>
    <col min="5" max="5" width="48.6953125" style="7" customWidth="1"/>
    <col min="6" max="6" width="18.6953125" style="7" customWidth="1"/>
    <col min="7" max="7" width="45.87109375" style="7" customWidth="1"/>
    <col min="8" max="8" width="12.10546875" style="7" customWidth="1"/>
    <col min="9" max="16384" width="9.01171875" style="7"/>
  </cols>
  <sheetData>
    <row r="1" spans="1:6" ht="55.5" customHeight="1" x14ac:dyDescent="0.2">
      <c r="B1" s="131" t="s">
        <v>101</v>
      </c>
      <c r="C1" s="131"/>
      <c r="D1" s="131"/>
      <c r="E1" s="131"/>
      <c r="F1" s="131"/>
    </row>
    <row r="2" spans="1:6" ht="18" x14ac:dyDescent="0.2">
      <c r="B2" s="132" t="s">
        <v>30</v>
      </c>
      <c r="C2" s="132"/>
      <c r="D2" s="132"/>
      <c r="E2" s="132"/>
      <c r="F2" s="132"/>
    </row>
    <row r="3" spans="1:6" ht="32.25" customHeight="1" thickBot="1" x14ac:dyDescent="0.25">
      <c r="B3" s="141" t="s">
        <v>65</v>
      </c>
      <c r="C3" s="141"/>
      <c r="D3" s="141"/>
      <c r="E3" s="141"/>
      <c r="F3" s="141"/>
    </row>
    <row r="4" spans="1:6" ht="33" customHeight="1" thickTop="1" thickBot="1" x14ac:dyDescent="0.25">
      <c r="B4" s="92" t="s">
        <v>38</v>
      </c>
      <c r="C4" s="75">
        <v>0</v>
      </c>
      <c r="D4" s="87"/>
    </row>
    <row r="5" spans="1:6" ht="33" customHeight="1" thickTop="1" thickBot="1" x14ac:dyDescent="0.25">
      <c r="B5" s="92" t="s">
        <v>46</v>
      </c>
      <c r="C5" s="75" t="s">
        <v>49</v>
      </c>
      <c r="D5" s="87"/>
    </row>
    <row r="6" spans="1:6" ht="33" customHeight="1" thickTop="1" thickBot="1" x14ac:dyDescent="0.25">
      <c r="B6" s="92" t="s">
        <v>47</v>
      </c>
      <c r="C6" s="75" t="s">
        <v>53</v>
      </c>
      <c r="D6" s="123"/>
    </row>
    <row r="7" spans="1:6" ht="33" customHeight="1" thickTop="1" thickBot="1" x14ac:dyDescent="0.25">
      <c r="B7" s="92" t="s">
        <v>48</v>
      </c>
      <c r="C7" s="75">
        <v>0</v>
      </c>
      <c r="D7" s="124"/>
      <c r="E7" s="137" t="s">
        <v>36</v>
      </c>
      <c r="F7" s="138"/>
    </row>
    <row r="8" spans="1:6" ht="11.25" customHeight="1" thickTop="1" x14ac:dyDescent="0.2">
      <c r="B8" s="84"/>
      <c r="C8" s="84"/>
      <c r="D8" s="43"/>
      <c r="E8" s="139"/>
      <c r="F8" s="140"/>
    </row>
    <row r="9" spans="1:6" ht="33" customHeight="1" x14ac:dyDescent="0.2">
      <c r="A9" s="85"/>
      <c r="B9" s="127" t="s">
        <v>34</v>
      </c>
      <c r="C9" s="128" t="s">
        <v>33</v>
      </c>
      <c r="D9" s="65"/>
      <c r="E9" s="142" t="s">
        <v>114</v>
      </c>
      <c r="F9" s="143"/>
    </row>
    <row r="10" spans="1:6" ht="26.1" customHeight="1" x14ac:dyDescent="0.2">
      <c r="A10" s="85"/>
      <c r="B10" s="66" t="s">
        <v>111</v>
      </c>
      <c r="C10" s="67">
        <f>IF(C4&lt;35000000,35000000,C4)</f>
        <v>35000000</v>
      </c>
      <c r="D10" s="65"/>
    </row>
    <row r="11" spans="1:6" ht="26.1" customHeight="1" x14ac:dyDescent="0.2">
      <c r="A11" s="85"/>
      <c r="B11" s="68" t="s">
        <v>107</v>
      </c>
      <c r="C11" s="69">
        <f>'1400'!T25</f>
        <v>0</v>
      </c>
      <c r="D11" s="65"/>
      <c r="E11" s="147" t="s">
        <v>37</v>
      </c>
      <c r="F11" s="147"/>
    </row>
    <row r="12" spans="1:6" ht="26.1" customHeight="1" x14ac:dyDescent="0.2">
      <c r="A12" s="85"/>
      <c r="B12" s="66" t="s">
        <v>112</v>
      </c>
      <c r="C12" s="67">
        <f>'1400'!T26</f>
        <v>0</v>
      </c>
      <c r="D12" s="65"/>
      <c r="E12" s="146" t="s">
        <v>103</v>
      </c>
      <c r="F12" s="146"/>
    </row>
    <row r="13" spans="1:6" ht="26.1" customHeight="1" x14ac:dyDescent="0.2">
      <c r="A13" s="85"/>
      <c r="B13" s="68" t="s">
        <v>110</v>
      </c>
      <c r="C13" s="69">
        <f>C10-('1400'!T25+'1400'!T26)</f>
        <v>35000000</v>
      </c>
      <c r="D13" s="65"/>
      <c r="E13" s="146" t="s">
        <v>104</v>
      </c>
      <c r="F13" s="146"/>
    </row>
    <row r="14" spans="1:6" ht="26.1" customHeight="1" x14ac:dyDescent="0.2">
      <c r="A14" s="85"/>
      <c r="B14" s="66" t="s">
        <v>109</v>
      </c>
      <c r="C14" s="67">
        <f>'1400'!G8</f>
        <v>0</v>
      </c>
      <c r="D14" s="65"/>
      <c r="E14" s="133" t="s">
        <v>31</v>
      </c>
      <c r="F14" s="133"/>
    </row>
    <row r="15" spans="1:6" ht="26.1" customHeight="1" x14ac:dyDescent="0.2">
      <c r="A15" s="85"/>
      <c r="B15" s="68" t="s">
        <v>70</v>
      </c>
      <c r="C15" s="69">
        <f>C10-C14</f>
        <v>35000000</v>
      </c>
      <c r="D15" s="65"/>
      <c r="E15" s="133" t="s">
        <v>32</v>
      </c>
      <c r="F15" s="133"/>
    </row>
    <row r="16" spans="1:6" ht="26.1" customHeight="1" x14ac:dyDescent="0.2">
      <c r="A16" s="85"/>
      <c r="B16" s="74"/>
      <c r="C16" s="74"/>
      <c r="D16" s="65"/>
    </row>
    <row r="17" spans="1:7" ht="26.1" customHeight="1" x14ac:dyDescent="0.2">
      <c r="A17" s="85"/>
      <c r="B17" s="84"/>
      <c r="C17" s="84"/>
      <c r="D17" s="65"/>
    </row>
    <row r="18" spans="1:7" ht="14.1" customHeight="1" x14ac:dyDescent="0.2">
      <c r="A18" s="85"/>
      <c r="B18" s="84"/>
      <c r="C18" s="84"/>
      <c r="D18" s="65"/>
    </row>
    <row r="19" spans="1:7" ht="26.1" customHeight="1" x14ac:dyDescent="0.2">
      <c r="A19" s="85"/>
      <c r="B19" s="84"/>
      <c r="C19" s="84"/>
      <c r="D19" s="65"/>
    </row>
    <row r="20" spans="1:7" ht="7.5" customHeight="1" x14ac:dyDescent="0.2">
      <c r="B20" s="135"/>
      <c r="C20" s="135"/>
      <c r="D20" s="65"/>
      <c r="E20" s="76"/>
      <c r="F20" s="65"/>
    </row>
    <row r="21" spans="1:7" ht="33" customHeight="1" x14ac:dyDescent="0.2">
      <c r="A21" s="85"/>
      <c r="B21" s="129" t="s">
        <v>39</v>
      </c>
      <c r="C21" s="130" t="s">
        <v>33</v>
      </c>
      <c r="D21" s="76"/>
      <c r="E21" s="125" t="s">
        <v>68</v>
      </c>
      <c r="F21" s="126" t="s">
        <v>69</v>
      </c>
    </row>
    <row r="22" spans="1:7" ht="26.1" customHeight="1" x14ac:dyDescent="0.2">
      <c r="A22" s="85"/>
      <c r="B22" s="70" t="s">
        <v>35</v>
      </c>
      <c r="C22" s="71">
        <f>IF('1400'!L33&lt;=56000000,56000000,'1400'!L33)</f>
        <v>56000000</v>
      </c>
      <c r="D22" s="76"/>
      <c r="E22" s="77" t="s">
        <v>105</v>
      </c>
      <c r="F22" s="78">
        <f>C22-C10</f>
        <v>21000000</v>
      </c>
      <c r="G22" s="134" t="s">
        <v>67</v>
      </c>
    </row>
    <row r="23" spans="1:7" ht="26.1" customHeight="1" x14ac:dyDescent="0.2">
      <c r="A23" s="85"/>
      <c r="B23" s="72" t="s">
        <v>107</v>
      </c>
      <c r="C23" s="73">
        <f>'1400'!U25</f>
        <v>0</v>
      </c>
      <c r="D23" s="76"/>
      <c r="E23" s="79" t="s">
        <v>40</v>
      </c>
      <c r="F23" s="80">
        <f>(F22*100)/C10</f>
        <v>60</v>
      </c>
      <c r="G23" s="134"/>
    </row>
    <row r="24" spans="1:7" ht="26.1" customHeight="1" x14ac:dyDescent="0.2">
      <c r="A24" s="85"/>
      <c r="B24" s="70" t="s">
        <v>108</v>
      </c>
      <c r="C24" s="71">
        <f>'1400'!U26</f>
        <v>0</v>
      </c>
      <c r="D24" s="76"/>
      <c r="E24" s="77" t="s">
        <v>106</v>
      </c>
      <c r="F24" s="78">
        <f>C27-C15</f>
        <v>21000000</v>
      </c>
      <c r="G24" s="134" t="s">
        <v>66</v>
      </c>
    </row>
    <row r="25" spans="1:7" ht="26.1" customHeight="1" x14ac:dyDescent="0.2">
      <c r="A25" s="85"/>
      <c r="B25" s="72" t="s">
        <v>117</v>
      </c>
      <c r="C25" s="73">
        <f>C22-('1400'!U25+'1400'!U26)</f>
        <v>56000000</v>
      </c>
      <c r="D25" s="76"/>
      <c r="E25" s="79" t="s">
        <v>41</v>
      </c>
      <c r="F25" s="81">
        <f>(F24*100)/C15</f>
        <v>60</v>
      </c>
      <c r="G25" s="134"/>
    </row>
    <row r="26" spans="1:7" ht="26.1" customHeight="1" x14ac:dyDescent="0.2">
      <c r="A26" s="85"/>
      <c r="B26" s="70" t="s">
        <v>109</v>
      </c>
      <c r="C26" s="71">
        <f>'1400'!O26</f>
        <v>0</v>
      </c>
      <c r="D26" s="76"/>
    </row>
    <row r="27" spans="1:7" ht="26.1" customHeight="1" x14ac:dyDescent="0.2">
      <c r="A27" s="85"/>
      <c r="B27" s="72" t="s">
        <v>70</v>
      </c>
      <c r="C27" s="73">
        <f>C22-C26</f>
        <v>56000000</v>
      </c>
      <c r="D27" s="76"/>
      <c r="E27" s="144" t="s">
        <v>100</v>
      </c>
      <c r="F27" s="145"/>
    </row>
    <row r="28" spans="1:7" ht="5.65" customHeight="1" x14ac:dyDescent="0.2">
      <c r="B28" s="43"/>
      <c r="C28" s="43"/>
      <c r="D28" s="65"/>
      <c r="E28" s="82"/>
      <c r="F28" s="83"/>
    </row>
    <row r="29" spans="1:7" ht="24.4" customHeight="1" x14ac:dyDescent="0.2">
      <c r="B29" s="136" t="s">
        <v>113</v>
      </c>
      <c r="C29" s="136"/>
      <c r="D29" s="136"/>
      <c r="E29" s="136"/>
      <c r="F29" s="83" t="s">
        <v>102</v>
      </c>
      <c r="G29" s="64"/>
    </row>
    <row r="30" spans="1:7" ht="24.4" customHeight="1" x14ac:dyDescent="0.2">
      <c r="B30" s="136" t="s">
        <v>115</v>
      </c>
      <c r="C30" s="136"/>
      <c r="D30" s="136"/>
      <c r="E30" s="136"/>
      <c r="F30" s="136"/>
      <c r="G30" s="64"/>
    </row>
    <row r="31" spans="1:7" ht="24.4" customHeight="1" x14ac:dyDescent="0.2">
      <c r="B31" s="136" t="s">
        <v>116</v>
      </c>
      <c r="C31" s="136"/>
      <c r="D31" s="136"/>
      <c r="E31" s="136"/>
      <c r="F31" s="136"/>
      <c r="G31" s="64"/>
    </row>
    <row r="34" spans="4:6" x14ac:dyDescent="0.2">
      <c r="D34" s="62"/>
      <c r="E34" s="62"/>
    </row>
    <row r="35" spans="4:6" x14ac:dyDescent="0.2">
      <c r="D35" s="62"/>
    </row>
    <row r="40" spans="4:6" ht="18" x14ac:dyDescent="0.2">
      <c r="E40" s="63"/>
      <c r="F40" s="63"/>
    </row>
  </sheetData>
  <sheetProtection algorithmName="SHA-512" hashValue="PPSLtmoNHpC7L6Sb2EF9/Yub1YRT1QOMpzX2jRQ3k8OdCz4HvKiE4Swhl6m5pk0d59oIsrJqb9KENaAO4LiIsA==" saltValue="wmluTlJHl/dZGPokgNTXwQ==" spinCount="100000" sheet="1" objects="1" scenarios="1"/>
  <mergeCells count="17">
    <mergeCell ref="B31:F31"/>
    <mergeCell ref="B30:F30"/>
    <mergeCell ref="E7:F8"/>
    <mergeCell ref="E15:F15"/>
    <mergeCell ref="B3:F3"/>
    <mergeCell ref="E9:F9"/>
    <mergeCell ref="E27:F27"/>
    <mergeCell ref="B29:E29"/>
    <mergeCell ref="E12:F12"/>
    <mergeCell ref="E11:F11"/>
    <mergeCell ref="E13:F13"/>
    <mergeCell ref="B1:F1"/>
    <mergeCell ref="B2:F2"/>
    <mergeCell ref="E14:F14"/>
    <mergeCell ref="G24:G25"/>
    <mergeCell ref="G22:G23"/>
    <mergeCell ref="B20:C20"/>
  </mergeCells>
  <dataValidations xWindow="310" yWindow="300" count="2">
    <dataValidation type="whole" allowBlank="1" showErrorMessage="1" errorTitle="اخطار" error="ععدی بزرگتر از صفر وارد نمایید" sqref="C10:C13" xr:uid="{00000000-0002-0000-0100-000000000000}">
      <formula1>0</formula1>
      <formula2>100000000000000000000</formula2>
    </dataValidation>
    <dataValidation type="whole" allowBlank="1" showInputMessage="1" showErrorMessage="1" errorTitle="اخطار" error="لطفا مجموع ارقام ریالی آخرین حکم کارگزینی (قرارداد) سال 99 خود را وارد نمایید" promptTitle="توجه" prompt="لطفا در این قسمت مجموع حقوق و مزایای خود را بر اساس آخرین حکم (قرارداد) سال 1400 به ریال وارد نمایید." sqref="C4" xr:uid="{00000000-0002-0000-0100-000001000000}">
      <formula1>0</formula1>
      <formula2>1E+24</formula2>
    </dataValidation>
  </dataValidations>
  <hyperlinks>
    <hyperlink ref="E15:F15" r:id="rId1" display="پست الکترونیکی (Email)" xr:uid="{00000000-0004-0000-0100-000000000000}"/>
    <hyperlink ref="E14:F14" r:id="rId2" display="اینستاگرام (instagram)" xr:uid="{00000000-0004-0000-0100-000001000000}"/>
    <hyperlink ref="B2:F2" r:id="rId3" display="تهیه و تنظیم : صیاح الدین شهدی" xr:uid="{00000000-0004-0000-0100-000002000000}"/>
    <hyperlink ref="E7" r:id="rId4" display="https://shenasname.ir/" xr:uid="{00000000-0004-0000-0100-000003000000}"/>
    <hyperlink ref="E11:F11" r:id="rId5" display="تهیه و تنظیم: صیاح الدین شهدی" xr:uid="{00000000-0004-0000-0100-000004000000}"/>
    <hyperlink ref="E13:F13" r:id="rId6" display="کارشناس  امور اداری و کارگزینی" xr:uid="{00000000-0004-0000-0100-000005000000}"/>
    <hyperlink ref="E9:F9" r:id="rId7" display="برای دریافت نسخه بروز شده فایل اکسل کلیک کنید" xr:uid="{80FAE538-1E1B-4FA0-BE6B-44CA0994DA58}"/>
    <hyperlink ref="E27" location="'جداول مالیات'!A1" display="ورود به جداول محاسبه مالیات" xr:uid="{3A018087-EE82-4E3B-BF57-006435CFB5B2}"/>
    <hyperlink ref="E12:F12" r:id="rId8" display="کارشناس  امور اداری و کارگزینی" xr:uid="{FCCD52D9-1BD3-4E4B-A028-9DFFB64A6E65}"/>
  </hyperlinks>
  <printOptions horizontalCentered="1"/>
  <pageMargins left="0.7" right="0.7" top="1.5" bottom="1.5" header="0.3" footer="0.3"/>
  <pageSetup paperSize="9" scale="60" orientation="portrait" r:id="rId9"/>
  <colBreaks count="1" manualBreakCount="1">
    <brk id="6" max="1048575" man="1"/>
  </colBreaks>
  <drawing r:id="rId10"/>
  <extLst>
    <ext xmlns:x14="http://schemas.microsoft.com/office/spreadsheetml/2009/9/main" uri="{CCE6A557-97BC-4b89-ADB6-D9C93CAAB3DF}">
      <x14:dataValidations xmlns:xm="http://schemas.microsoft.com/office/excel/2006/main" xWindow="310" yWindow="300" count="3">
        <x14:dataValidation type="list" allowBlank="1" showInputMessage="1" showErrorMessage="1" xr:uid="{77FFB222-CD45-4D2F-9CA8-FAE3DC010D7B}">
          <x14:formula1>
            <xm:f>'1400'!$V$1:$V$11</xm:f>
          </x14:formula1>
          <xm:sqref>C7</xm:sqref>
        </x14:dataValidation>
        <x14:dataValidation type="list" allowBlank="1" showInputMessage="1" showErrorMessage="1" xr:uid="{618F5236-2473-483A-9F29-6C314494DACD}">
          <x14:formula1>
            <xm:f>'1400'!$R$1:$R$3</xm:f>
          </x14:formula1>
          <xm:sqref>C5</xm:sqref>
        </x14:dataValidation>
        <x14:dataValidation type="list" allowBlank="1" showInputMessage="1" showErrorMessage="1" xr:uid="{D2030EE6-3757-4525-B4E7-9AE6141076E7}">
          <x14:formula1>
            <xm:f>'1400'!$U$1:$U$2</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6452E-994A-489F-A561-D1B28F503F85}">
  <sheetPr codeName="Sheet3">
    <tabColor theme="8" tint="0.59999389629810485"/>
  </sheetPr>
  <dimension ref="A1:O22"/>
  <sheetViews>
    <sheetView showGridLines="0" showRowColHeaders="0" rightToLeft="1" zoomScale="90" zoomScaleNormal="90" workbookViewId="0">
      <selection activeCell="G22" sqref="G22"/>
    </sheetView>
  </sheetViews>
  <sheetFormatPr defaultRowHeight="15" x14ac:dyDescent="0.2"/>
  <cols>
    <col min="1" max="1" width="4.16796875" customWidth="1"/>
    <col min="3" max="3" width="34.70703125" customWidth="1"/>
    <col min="4" max="4" width="22.734375" customWidth="1"/>
    <col min="7" max="7" width="26.6328125" customWidth="1"/>
  </cols>
  <sheetData>
    <row r="1" spans="1:15" ht="36.75" customHeight="1" thickBot="1" x14ac:dyDescent="0.25">
      <c r="B1" s="148" t="s">
        <v>95</v>
      </c>
      <c r="C1" s="148"/>
      <c r="D1" s="148"/>
      <c r="E1" s="148"/>
      <c r="F1" s="148"/>
      <c r="G1" s="148"/>
    </row>
    <row r="2" spans="1:15" s="7" customFormat="1" ht="36.75" customHeight="1" x14ac:dyDescent="0.2">
      <c r="A2" s="62"/>
      <c r="B2" s="158" t="s">
        <v>86</v>
      </c>
      <c r="C2" s="159"/>
      <c r="D2" s="160"/>
      <c r="E2" s="160"/>
      <c r="F2" s="160"/>
      <c r="G2" s="161"/>
      <c r="H2" s="109"/>
      <c r="I2" s="62"/>
      <c r="J2" s="62"/>
      <c r="K2" s="62"/>
      <c r="L2" s="62"/>
      <c r="M2" s="62"/>
      <c r="N2" s="62"/>
      <c r="O2" s="62"/>
    </row>
    <row r="3" spans="1:15" s="7" customFormat="1" ht="30.95" customHeight="1" thickBot="1" x14ac:dyDescent="0.25">
      <c r="A3" s="62"/>
      <c r="B3" s="112" t="s">
        <v>72</v>
      </c>
      <c r="C3" s="113" t="s">
        <v>73</v>
      </c>
      <c r="D3" s="113" t="s">
        <v>74</v>
      </c>
      <c r="E3" s="162" t="s">
        <v>75</v>
      </c>
      <c r="F3" s="163"/>
      <c r="G3" s="114" t="s">
        <v>76</v>
      </c>
      <c r="H3" s="109"/>
      <c r="K3" s="62"/>
      <c r="L3" s="62"/>
      <c r="M3" s="62"/>
      <c r="N3" s="62"/>
      <c r="O3" s="62"/>
    </row>
    <row r="4" spans="1:15" s="7" customFormat="1" ht="24.95" customHeight="1" thickTop="1" x14ac:dyDescent="0.2">
      <c r="A4" s="62"/>
      <c r="B4" s="96">
        <v>0</v>
      </c>
      <c r="C4" s="97" t="s">
        <v>0</v>
      </c>
      <c r="D4" s="98">
        <f>'1400'!C1</f>
        <v>35000000</v>
      </c>
      <c r="E4" s="164" t="s">
        <v>77</v>
      </c>
      <c r="F4" s="165"/>
      <c r="G4" s="99">
        <f>'1400'!G1</f>
        <v>0</v>
      </c>
      <c r="H4" s="109"/>
      <c r="K4" s="62"/>
      <c r="L4" s="62"/>
      <c r="M4" s="62"/>
      <c r="N4" s="62"/>
      <c r="O4" s="62"/>
    </row>
    <row r="5" spans="1:15" s="7" customFormat="1" ht="24.95" customHeight="1" x14ac:dyDescent="0.2">
      <c r="A5" s="62"/>
      <c r="B5" s="115">
        <v>1</v>
      </c>
      <c r="C5" s="116" t="s">
        <v>87</v>
      </c>
      <c r="D5" s="117">
        <f>'1400'!D2</f>
        <v>0</v>
      </c>
      <c r="E5" s="156" t="s">
        <v>79</v>
      </c>
      <c r="F5" s="157"/>
      <c r="G5" s="118">
        <f>'1400'!G2</f>
        <v>0</v>
      </c>
      <c r="H5" s="109"/>
      <c r="K5" s="62"/>
      <c r="L5" s="62"/>
      <c r="M5" s="62"/>
      <c r="N5" s="62"/>
      <c r="O5" s="62"/>
    </row>
    <row r="6" spans="1:15" s="7" customFormat="1" ht="24.95" customHeight="1" x14ac:dyDescent="0.2">
      <c r="A6" s="62"/>
      <c r="B6" s="104">
        <v>2</v>
      </c>
      <c r="C6" s="105" t="s">
        <v>88</v>
      </c>
      <c r="D6" s="106">
        <f>'1400'!D3</f>
        <v>0</v>
      </c>
      <c r="E6" s="149" t="s">
        <v>81</v>
      </c>
      <c r="F6" s="150"/>
      <c r="G6" s="107">
        <f>'1400'!G3</f>
        <v>0</v>
      </c>
      <c r="H6" s="109"/>
      <c r="K6" s="62"/>
      <c r="L6" s="62"/>
      <c r="M6" s="62"/>
      <c r="N6" s="62"/>
      <c r="O6" s="62"/>
    </row>
    <row r="7" spans="1:15" s="7" customFormat="1" ht="24.95" customHeight="1" x14ac:dyDescent="0.25">
      <c r="A7" s="62"/>
      <c r="B7" s="115">
        <v>3</v>
      </c>
      <c r="C7" s="116" t="s">
        <v>89</v>
      </c>
      <c r="D7" s="117">
        <f>'1400'!D4</f>
        <v>0</v>
      </c>
      <c r="E7" s="156" t="s">
        <v>83</v>
      </c>
      <c r="F7" s="157"/>
      <c r="G7" s="118">
        <f>'1400'!G4</f>
        <v>0</v>
      </c>
      <c r="H7" s="109"/>
      <c r="I7" s="154"/>
      <c r="J7" s="154"/>
      <c r="K7" s="62"/>
      <c r="L7" s="62"/>
      <c r="M7" s="62"/>
      <c r="N7" s="62"/>
      <c r="O7" s="62"/>
    </row>
    <row r="8" spans="1:15" s="7" customFormat="1" ht="24.95" customHeight="1" x14ac:dyDescent="0.25">
      <c r="A8" s="62"/>
      <c r="B8" s="104">
        <v>4</v>
      </c>
      <c r="C8" s="105" t="s">
        <v>90</v>
      </c>
      <c r="D8" s="106">
        <f>'1400'!D5</f>
        <v>0</v>
      </c>
      <c r="E8" s="149" t="s">
        <v>93</v>
      </c>
      <c r="F8" s="150" t="s">
        <v>85</v>
      </c>
      <c r="G8" s="107">
        <f>'1400'!G5</f>
        <v>0</v>
      </c>
      <c r="H8" s="109"/>
      <c r="I8" s="110"/>
      <c r="J8" s="110"/>
      <c r="K8" s="62"/>
      <c r="L8" s="62"/>
      <c r="M8" s="62"/>
      <c r="N8" s="62"/>
      <c r="O8" s="62"/>
    </row>
    <row r="9" spans="1:15" s="7" customFormat="1" ht="24.95" customHeight="1" x14ac:dyDescent="0.25">
      <c r="A9" s="62"/>
      <c r="B9" s="115">
        <v>5</v>
      </c>
      <c r="C9" s="116" t="s">
        <v>91</v>
      </c>
      <c r="D9" s="117">
        <f>'1400'!D6</f>
        <v>0</v>
      </c>
      <c r="E9" s="156" t="s">
        <v>85</v>
      </c>
      <c r="F9" s="157"/>
      <c r="G9" s="118">
        <f>'1400'!G6</f>
        <v>0</v>
      </c>
      <c r="H9" s="109"/>
      <c r="I9" s="110"/>
      <c r="J9" s="110"/>
      <c r="K9" s="62"/>
      <c r="L9" s="62"/>
      <c r="M9" s="62"/>
      <c r="N9" s="62"/>
      <c r="O9" s="62"/>
    </row>
    <row r="10" spans="1:15" s="7" customFormat="1" ht="24.95" customHeight="1" thickBot="1" x14ac:dyDescent="0.25">
      <c r="A10" s="62"/>
      <c r="B10" s="104">
        <v>6</v>
      </c>
      <c r="C10" s="105" t="s">
        <v>92</v>
      </c>
      <c r="D10" s="106">
        <f>'1400'!D7</f>
        <v>0</v>
      </c>
      <c r="E10" s="149" t="s">
        <v>94</v>
      </c>
      <c r="F10" s="150"/>
      <c r="G10" s="107">
        <f>'1400'!G7</f>
        <v>0</v>
      </c>
      <c r="H10" s="109"/>
      <c r="I10" s="111"/>
      <c r="J10" s="111"/>
      <c r="K10" s="62"/>
      <c r="L10" s="62"/>
      <c r="M10" s="62"/>
      <c r="N10" s="62"/>
      <c r="O10" s="62"/>
    </row>
    <row r="11" spans="1:15" s="7" customFormat="1" ht="29.25" customHeight="1" thickTop="1" thickBot="1" x14ac:dyDescent="0.25">
      <c r="A11" s="62"/>
      <c r="B11" s="151" t="s">
        <v>98</v>
      </c>
      <c r="C11" s="152"/>
      <c r="D11" s="122">
        <f>SUM(D4:D10)</f>
        <v>35000000</v>
      </c>
      <c r="E11" s="153" t="s">
        <v>99</v>
      </c>
      <c r="F11" s="152"/>
      <c r="G11" s="121">
        <f>SUM(G4:G10)</f>
        <v>0</v>
      </c>
      <c r="H11" s="109"/>
      <c r="I11" s="155"/>
      <c r="J11" s="155"/>
      <c r="K11" s="62"/>
      <c r="L11" s="62"/>
      <c r="M11" s="62"/>
      <c r="N11" s="62"/>
      <c r="O11" s="62"/>
    </row>
    <row r="12" spans="1:15" ht="28.7" customHeight="1" thickBot="1" x14ac:dyDescent="0.25"/>
    <row r="13" spans="1:15" s="7" customFormat="1" ht="36.75" customHeight="1" x14ac:dyDescent="0.2">
      <c r="A13" s="62"/>
      <c r="B13" s="171" t="s">
        <v>71</v>
      </c>
      <c r="C13" s="172"/>
      <c r="D13" s="173"/>
      <c r="E13" s="173"/>
      <c r="F13" s="173"/>
      <c r="G13" s="174"/>
      <c r="H13" s="109"/>
      <c r="I13" s="62"/>
      <c r="J13" s="62"/>
      <c r="K13" s="62"/>
      <c r="L13" s="62"/>
      <c r="M13" s="62"/>
      <c r="N13" s="62"/>
      <c r="O13" s="62"/>
    </row>
    <row r="14" spans="1:15" s="7" customFormat="1" ht="30.95" customHeight="1" thickBot="1" x14ac:dyDescent="0.25">
      <c r="A14" s="62"/>
      <c r="B14" s="93" t="s">
        <v>72</v>
      </c>
      <c r="C14" s="94" t="s">
        <v>73</v>
      </c>
      <c r="D14" s="94" t="s">
        <v>74</v>
      </c>
      <c r="E14" s="175" t="s">
        <v>75</v>
      </c>
      <c r="F14" s="176"/>
      <c r="G14" s="95" t="s">
        <v>76</v>
      </c>
      <c r="H14" s="109"/>
      <c r="K14" s="62"/>
      <c r="L14" s="62"/>
      <c r="M14" s="62"/>
      <c r="N14" s="62"/>
      <c r="O14" s="62"/>
    </row>
    <row r="15" spans="1:15" s="7" customFormat="1" ht="24.95" customHeight="1" thickTop="1" x14ac:dyDescent="0.2">
      <c r="A15" s="62"/>
      <c r="B15" s="96">
        <v>0</v>
      </c>
      <c r="C15" s="97" t="s">
        <v>0</v>
      </c>
      <c r="D15" s="98">
        <f>'1400'!L19</f>
        <v>56000000</v>
      </c>
      <c r="E15" s="164" t="s">
        <v>77</v>
      </c>
      <c r="F15" s="165"/>
      <c r="G15" s="99">
        <f>'1400'!O19</f>
        <v>0</v>
      </c>
      <c r="H15" s="109"/>
      <c r="K15" s="62"/>
      <c r="L15" s="62"/>
      <c r="M15" s="62"/>
      <c r="N15" s="62"/>
      <c r="O15" s="62"/>
    </row>
    <row r="16" spans="1:15" s="7" customFormat="1" ht="24.95" customHeight="1" x14ac:dyDescent="0.2">
      <c r="A16" s="62"/>
      <c r="B16" s="100">
        <v>1</v>
      </c>
      <c r="C16" s="101" t="s">
        <v>78</v>
      </c>
      <c r="D16" s="102">
        <f>'1400'!L20</f>
        <v>0</v>
      </c>
      <c r="E16" s="169" t="s">
        <v>79</v>
      </c>
      <c r="F16" s="170"/>
      <c r="G16" s="103">
        <f>'1400'!O20</f>
        <v>0</v>
      </c>
      <c r="H16" s="109"/>
      <c r="K16" s="62"/>
      <c r="L16" s="62"/>
      <c r="M16" s="62"/>
      <c r="N16" s="62"/>
      <c r="O16" s="62"/>
    </row>
    <row r="17" spans="1:15" s="7" customFormat="1" ht="24.95" customHeight="1" x14ac:dyDescent="0.2">
      <c r="A17" s="62"/>
      <c r="B17" s="104">
        <v>2</v>
      </c>
      <c r="C17" s="105" t="s">
        <v>80</v>
      </c>
      <c r="D17" s="106">
        <f>'1400'!L21</f>
        <v>0</v>
      </c>
      <c r="E17" s="149" t="s">
        <v>81</v>
      </c>
      <c r="F17" s="150"/>
      <c r="G17" s="107">
        <f>'1400'!O21</f>
        <v>0</v>
      </c>
      <c r="H17" s="109"/>
      <c r="K17" s="62"/>
      <c r="L17" s="62"/>
      <c r="M17" s="62"/>
      <c r="N17" s="62"/>
      <c r="O17" s="62"/>
    </row>
    <row r="18" spans="1:15" s="7" customFormat="1" ht="24.95" customHeight="1" x14ac:dyDescent="0.25">
      <c r="A18" s="62"/>
      <c r="B18" s="100">
        <v>3</v>
      </c>
      <c r="C18" s="101" t="s">
        <v>82</v>
      </c>
      <c r="D18" s="102">
        <f>'1400'!L22</f>
        <v>0</v>
      </c>
      <c r="E18" s="169" t="s">
        <v>83</v>
      </c>
      <c r="F18" s="170"/>
      <c r="G18" s="103">
        <f>'1400'!O22</f>
        <v>0</v>
      </c>
      <c r="H18" s="109"/>
      <c r="I18" s="154"/>
      <c r="J18" s="154"/>
      <c r="K18" s="62"/>
      <c r="L18" s="62"/>
      <c r="M18" s="62"/>
      <c r="N18" s="62"/>
      <c r="O18" s="62"/>
    </row>
    <row r="19" spans="1:15" s="7" customFormat="1" ht="24.95" customHeight="1" thickBot="1" x14ac:dyDescent="0.3">
      <c r="A19" s="62"/>
      <c r="B19" s="104">
        <v>4</v>
      </c>
      <c r="C19" s="105" t="s">
        <v>84</v>
      </c>
      <c r="D19" s="106">
        <f>'1400'!L23</f>
        <v>0</v>
      </c>
      <c r="E19" s="149" t="s">
        <v>85</v>
      </c>
      <c r="F19" s="150" t="s">
        <v>85</v>
      </c>
      <c r="G19" s="107">
        <f>'1400'!O23</f>
        <v>0</v>
      </c>
      <c r="H19" s="109"/>
      <c r="I19" s="110"/>
      <c r="J19" s="110"/>
      <c r="K19" s="62"/>
      <c r="L19" s="62"/>
      <c r="M19" s="62"/>
      <c r="N19" s="62"/>
      <c r="O19" s="62"/>
    </row>
    <row r="20" spans="1:15" s="7" customFormat="1" ht="29.25" customHeight="1" thickTop="1" thickBot="1" x14ac:dyDescent="0.25">
      <c r="A20" s="62"/>
      <c r="B20" s="166" t="s">
        <v>97</v>
      </c>
      <c r="C20" s="167"/>
      <c r="D20" s="108">
        <f>SUM(D15:D19)</f>
        <v>56000000</v>
      </c>
      <c r="E20" s="168" t="s">
        <v>99</v>
      </c>
      <c r="F20" s="167"/>
      <c r="G20" s="120">
        <f>SUM(G15:G19)</f>
        <v>0</v>
      </c>
      <c r="H20" s="109"/>
      <c r="I20" s="155"/>
      <c r="J20" s="155"/>
      <c r="K20" s="62"/>
      <c r="L20" s="62"/>
      <c r="M20" s="62"/>
      <c r="N20" s="62"/>
      <c r="O20" s="62"/>
    </row>
    <row r="21" spans="1:15" ht="15.75" thickBot="1" x14ac:dyDescent="0.25"/>
    <row r="22" spans="1:15" ht="22.35" customHeight="1" thickTop="1" thickBot="1" x14ac:dyDescent="0.25">
      <c r="G22" s="119" t="s">
        <v>96</v>
      </c>
    </row>
  </sheetData>
  <sheetProtection algorithmName="SHA-512" hashValue="Ta+lCGsK0TRPQFKi5/ltxfHapz/m89u1r9E9CTtY3PAXYLzsH/6+AQWf06cs50hCxCQ4ggfgpZeefraEpm6z0w==" saltValue="OK4uLIfzFA+GdONaQ/CyVw==" spinCount="100000" sheet="1" objects="1" scenarios="1"/>
  <mergeCells count="25">
    <mergeCell ref="B13:G13"/>
    <mergeCell ref="E14:F14"/>
    <mergeCell ref="E15:F15"/>
    <mergeCell ref="E16:F16"/>
    <mergeCell ref="E17:F17"/>
    <mergeCell ref="E19:F19"/>
    <mergeCell ref="B20:C20"/>
    <mergeCell ref="E20:F20"/>
    <mergeCell ref="I18:J18"/>
    <mergeCell ref="I20:J20"/>
    <mergeCell ref="E18:F18"/>
    <mergeCell ref="I7:J7"/>
    <mergeCell ref="I11:J11"/>
    <mergeCell ref="E9:F9"/>
    <mergeCell ref="B2:G2"/>
    <mergeCell ref="E3:F3"/>
    <mergeCell ref="E4:F4"/>
    <mergeCell ref="E5:F5"/>
    <mergeCell ref="E6:F6"/>
    <mergeCell ref="E7:F7"/>
    <mergeCell ref="B1:G1"/>
    <mergeCell ref="E8:F8"/>
    <mergeCell ref="E10:F10"/>
    <mergeCell ref="B11:C11"/>
    <mergeCell ref="E11:F11"/>
  </mergeCells>
  <hyperlinks>
    <hyperlink ref="B13:G13" r:id="rId1" display="جدول محاسبه مالیات بر درآمد سال  ۱۳۹9 " xr:uid="{4E1F9FBA-B61B-4214-B56D-5F5FB228ED16}"/>
    <hyperlink ref="B2:G2" r:id="rId2" display="جدول محاسبه مالیات بر درآمد سال  ۱۳۹9 " xr:uid="{840C26A4-988C-448D-8F60-495BFEF7D51D}"/>
    <hyperlink ref="G22" location="'افزایش حقوق 1401'!A1" display="بازگشت به صفحه اصلی" xr:uid="{9918D466-1487-4292-AE78-D813EB7B62CF}"/>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V82"/>
  <sheetViews>
    <sheetView rightToLeft="1" topLeftCell="J10" zoomScale="115" zoomScaleNormal="115" workbookViewId="0">
      <selection activeCell="M12" sqref="M12"/>
    </sheetView>
  </sheetViews>
  <sheetFormatPr defaultColWidth="9.01171875" defaultRowHeight="15" x14ac:dyDescent="0.2"/>
  <cols>
    <col min="1" max="1" width="9.01171875" style="7"/>
    <col min="2" max="2" width="31.20703125" style="7" bestFit="1" customWidth="1"/>
    <col min="3" max="4" width="20.3125" style="7" bestFit="1" customWidth="1"/>
    <col min="5" max="5" width="19.90625" style="7" customWidth="1"/>
    <col min="6" max="6" width="8.203125" style="7" customWidth="1"/>
    <col min="7" max="7" width="15.06640625" style="7" customWidth="1"/>
    <col min="8" max="9" width="9.01171875" style="7"/>
    <col min="10" max="10" width="19.50390625" style="7" customWidth="1"/>
    <col min="11" max="11" width="15.33203125" style="7" customWidth="1"/>
    <col min="12" max="12" width="15.19921875" style="7" bestFit="1" customWidth="1"/>
    <col min="13" max="13" width="19.63671875" style="7" customWidth="1"/>
    <col min="14" max="14" width="9.01171875" style="7" bestFit="1" customWidth="1"/>
    <col min="15" max="15" width="12.64453125" style="7" customWidth="1"/>
    <col min="16" max="17" width="9.01171875" style="7"/>
    <col min="18" max="18" width="13.44921875" style="7" customWidth="1"/>
    <col min="19" max="19" width="16.41015625" style="7" customWidth="1"/>
    <col min="20" max="20" width="13.5859375" style="7" customWidth="1"/>
    <col min="21" max="21" width="13.71875" style="7" customWidth="1"/>
    <col min="22" max="16384" width="9.01171875" style="7"/>
  </cols>
  <sheetData>
    <row r="1" spans="1:22" ht="18" x14ac:dyDescent="0.2">
      <c r="A1" s="46">
        <v>0</v>
      </c>
      <c r="B1" s="59" t="s">
        <v>0</v>
      </c>
      <c r="C1" s="2">
        <f>IF(D12&lt;40000000,D12,40000000)</f>
        <v>35000000</v>
      </c>
      <c r="D1" s="3"/>
      <c r="E1" s="4"/>
      <c r="F1" s="5">
        <v>0</v>
      </c>
      <c r="G1" s="6">
        <f>D1*F1</f>
        <v>0</v>
      </c>
      <c r="I1" s="46">
        <v>0</v>
      </c>
      <c r="J1" s="59" t="s">
        <v>0</v>
      </c>
      <c r="K1" s="32">
        <f>IF(L10&lt;50000000,L10,50000000)</f>
        <v>50000000</v>
      </c>
      <c r="L1" s="3">
        <v>0</v>
      </c>
      <c r="M1" s="55"/>
      <c r="N1" s="58">
        <v>0</v>
      </c>
      <c r="O1" s="51">
        <f>L1*N1</f>
        <v>0</v>
      </c>
      <c r="R1" s="43" t="s">
        <v>49</v>
      </c>
      <c r="U1" s="7" t="s">
        <v>52</v>
      </c>
      <c r="V1" s="7">
        <v>0</v>
      </c>
    </row>
    <row r="2" spans="1:22" ht="18" x14ac:dyDescent="0.2">
      <c r="A2" s="46">
        <v>1</v>
      </c>
      <c r="B2" s="60" t="s">
        <v>1</v>
      </c>
      <c r="C2" s="9">
        <f>IF(D12&lt;40000001,0,D12-40000000)</f>
        <v>0</v>
      </c>
      <c r="D2" s="10">
        <f>IF(C2&gt;40000000,40000000,C2)</f>
        <v>0</v>
      </c>
      <c r="E2" s="11">
        <f>IF(D2&gt;0,D2,0)</f>
        <v>0</v>
      </c>
      <c r="F2" s="5">
        <v>0.1</v>
      </c>
      <c r="G2" s="6">
        <f t="shared" ref="G2:G7" si="0">D2*F2</f>
        <v>0</v>
      </c>
      <c r="I2" s="46">
        <v>1</v>
      </c>
      <c r="J2" s="60" t="s">
        <v>7</v>
      </c>
      <c r="K2" s="34">
        <f>IF(L10&lt;50000001,0,L10-50000000)</f>
        <v>6000000</v>
      </c>
      <c r="L2" s="35">
        <f>IF(K2&gt;50000000,50000000,K2)</f>
        <v>6000000</v>
      </c>
      <c r="M2" s="56">
        <f>IF(L2&gt;0,L2,0)</f>
        <v>6000000</v>
      </c>
      <c r="N2" s="58">
        <v>0.1</v>
      </c>
      <c r="O2" s="51">
        <f t="shared" ref="O2:O5" si="1">L2*N2</f>
        <v>600000</v>
      </c>
      <c r="R2" s="43" t="s">
        <v>50</v>
      </c>
      <c r="U2" s="7" t="s">
        <v>53</v>
      </c>
      <c r="V2" s="7">
        <v>1</v>
      </c>
    </row>
    <row r="3" spans="1:22" ht="18" x14ac:dyDescent="0.2">
      <c r="A3" s="46">
        <v>2</v>
      </c>
      <c r="B3" s="61" t="s">
        <v>2</v>
      </c>
      <c r="C3" s="9">
        <f>C2-D2</f>
        <v>0</v>
      </c>
      <c r="D3" s="10">
        <f>IF(C3&gt;40000000,40000000,C3)</f>
        <v>0</v>
      </c>
      <c r="E3" s="11">
        <f>IF(D3&gt;0,D3,0)</f>
        <v>0</v>
      </c>
      <c r="F3" s="5">
        <v>0.15</v>
      </c>
      <c r="G3" s="6">
        <f t="shared" si="0"/>
        <v>0</v>
      </c>
      <c r="I3" s="46">
        <v>2</v>
      </c>
      <c r="J3" s="61" t="s">
        <v>8</v>
      </c>
      <c r="K3" s="34">
        <f>K2-L2</f>
        <v>0</v>
      </c>
      <c r="L3" s="35">
        <f>IF(K3&gt;100000000,100000000,K3)</f>
        <v>0</v>
      </c>
      <c r="M3" s="56">
        <f>IF(L3&gt;0,L3,0)</f>
        <v>0</v>
      </c>
      <c r="N3" s="58">
        <v>0.15</v>
      </c>
      <c r="O3" s="51">
        <f t="shared" si="1"/>
        <v>0</v>
      </c>
      <c r="R3" s="7" t="s">
        <v>51</v>
      </c>
      <c r="V3" s="7">
        <v>2</v>
      </c>
    </row>
    <row r="4" spans="1:22" ht="18" x14ac:dyDescent="0.2">
      <c r="A4" s="46">
        <v>3</v>
      </c>
      <c r="B4" s="60" t="s">
        <v>3</v>
      </c>
      <c r="C4" s="9">
        <f>C3-D3</f>
        <v>0</v>
      </c>
      <c r="D4" s="10">
        <f>IF(C4&gt;60000000,60000000,C4)</f>
        <v>0</v>
      </c>
      <c r="E4" s="11">
        <f>IF(D4&gt;0,D4,0)</f>
        <v>0</v>
      </c>
      <c r="F4" s="5">
        <v>0.2</v>
      </c>
      <c r="G4" s="6">
        <f t="shared" si="0"/>
        <v>0</v>
      </c>
      <c r="I4" s="46">
        <v>3</v>
      </c>
      <c r="J4" s="60" t="s">
        <v>9</v>
      </c>
      <c r="K4" s="34">
        <f>K3-L3</f>
        <v>0</v>
      </c>
      <c r="L4" s="34">
        <f>K4</f>
        <v>0</v>
      </c>
      <c r="M4" s="56">
        <f>IF(L4&gt;0,L4,0)</f>
        <v>0</v>
      </c>
      <c r="N4" s="58">
        <v>0.2</v>
      </c>
      <c r="O4" s="51">
        <f t="shared" si="1"/>
        <v>0</v>
      </c>
      <c r="V4" s="7">
        <v>3</v>
      </c>
    </row>
    <row r="5" spans="1:22" ht="18.75" thickBot="1" x14ac:dyDescent="0.25">
      <c r="A5" s="46">
        <v>4</v>
      </c>
      <c r="B5" s="13" t="s">
        <v>4</v>
      </c>
      <c r="C5" s="9">
        <f t="shared" ref="C5:C6" si="2">C4-D4</f>
        <v>0</v>
      </c>
      <c r="D5" s="10">
        <f t="shared" ref="D5" si="3">IF(C5&gt;60000000,60000000,C5)</f>
        <v>0</v>
      </c>
      <c r="E5" s="11">
        <f t="shared" ref="E5:E6" si="4">IF(D5&gt;0,D5,0)</f>
        <v>0</v>
      </c>
      <c r="F5" s="5">
        <v>0.25</v>
      </c>
      <c r="G5" s="6">
        <f t="shared" si="0"/>
        <v>0</v>
      </c>
      <c r="I5" s="46">
        <v>4</v>
      </c>
      <c r="J5" s="14" t="s">
        <v>29</v>
      </c>
      <c r="K5" s="15">
        <f>K4-L4</f>
        <v>0</v>
      </c>
      <c r="L5" s="34">
        <f>K5</f>
        <v>0</v>
      </c>
      <c r="M5" s="57">
        <f>IF(K5&gt;0,K5,0)</f>
        <v>0</v>
      </c>
      <c r="N5" s="58">
        <v>0.25</v>
      </c>
      <c r="O5" s="51">
        <f t="shared" si="1"/>
        <v>0</v>
      </c>
      <c r="V5" s="7">
        <v>4</v>
      </c>
    </row>
    <row r="6" spans="1:22" ht="18" x14ac:dyDescent="0.2">
      <c r="A6" s="46">
        <v>5</v>
      </c>
      <c r="B6" s="13" t="s">
        <v>5</v>
      </c>
      <c r="C6" s="9">
        <f t="shared" si="2"/>
        <v>0</v>
      </c>
      <c r="D6" s="10">
        <f>IF(C6&gt;80000000,80000000,C6)</f>
        <v>0</v>
      </c>
      <c r="E6" s="11">
        <f t="shared" si="4"/>
        <v>0</v>
      </c>
      <c r="F6" s="5">
        <v>0.3</v>
      </c>
      <c r="G6" s="6">
        <f t="shared" si="0"/>
        <v>0</v>
      </c>
      <c r="O6" s="10">
        <f>SUM(O1:O5)</f>
        <v>600000</v>
      </c>
      <c r="V6" s="7">
        <v>5</v>
      </c>
    </row>
    <row r="7" spans="1:22" ht="18.75" thickBot="1" x14ac:dyDescent="0.25">
      <c r="A7" s="46">
        <v>6</v>
      </c>
      <c r="B7" s="14" t="s">
        <v>6</v>
      </c>
      <c r="C7" s="15">
        <f>C6-D6</f>
        <v>0</v>
      </c>
      <c r="D7" s="16">
        <f>C7</f>
        <v>0</v>
      </c>
      <c r="E7" s="17">
        <f>IF(C7&gt;0,C7,0)</f>
        <v>0</v>
      </c>
      <c r="F7" s="5">
        <v>0.35</v>
      </c>
      <c r="G7" s="6">
        <f t="shared" si="0"/>
        <v>0</v>
      </c>
      <c r="K7" s="20">
        <v>0</v>
      </c>
      <c r="V7" s="7">
        <v>6</v>
      </c>
    </row>
    <row r="8" spans="1:22" ht="28.5" customHeight="1" x14ac:dyDescent="0.2">
      <c r="C8" s="18">
        <f>SUM(C1:C7)</f>
        <v>35000000</v>
      </c>
      <c r="D8" s="19"/>
      <c r="E8" s="6">
        <f>IF(C8&gt;0,C8,0)</f>
        <v>35000000</v>
      </c>
      <c r="G8" s="10">
        <f>SUM(G1:G7)</f>
        <v>0</v>
      </c>
      <c r="K8" s="21">
        <v>0.1</v>
      </c>
      <c r="R8" s="19"/>
      <c r="S8" s="19"/>
      <c r="T8" s="19"/>
      <c r="U8" s="19"/>
      <c r="V8" s="7">
        <v>7</v>
      </c>
    </row>
    <row r="9" spans="1:22" x14ac:dyDescent="0.2">
      <c r="C9" s="20">
        <v>0</v>
      </c>
      <c r="K9" s="20">
        <v>0.15</v>
      </c>
      <c r="R9" s="19"/>
      <c r="S9" s="19"/>
      <c r="T9" s="19"/>
      <c r="U9" s="19">
        <v>3048</v>
      </c>
      <c r="V9" s="7">
        <v>8</v>
      </c>
    </row>
    <row r="10" spans="1:22" x14ac:dyDescent="0.2">
      <c r="C10" s="21">
        <v>0.1</v>
      </c>
      <c r="K10" s="21">
        <v>0.2</v>
      </c>
      <c r="L10" s="22">
        <f>'افزایش حقوق 1401'!C22</f>
        <v>56000000</v>
      </c>
      <c r="R10" s="19" t="s">
        <v>54</v>
      </c>
      <c r="S10" s="19" t="s">
        <v>55</v>
      </c>
      <c r="T10" s="19"/>
      <c r="U10" s="19">
        <f>U9*1.1</f>
        <v>3352.8</v>
      </c>
      <c r="V10" s="7">
        <v>9</v>
      </c>
    </row>
    <row r="11" spans="1:22" x14ac:dyDescent="0.2">
      <c r="C11" s="20">
        <v>0.15</v>
      </c>
      <c r="K11" s="23">
        <v>0.25</v>
      </c>
      <c r="Q11" s="7" t="s">
        <v>59</v>
      </c>
      <c r="R11" s="19">
        <v>1215</v>
      </c>
      <c r="S11" s="19">
        <v>280</v>
      </c>
      <c r="T11" s="19"/>
      <c r="U11" s="19"/>
      <c r="V11" s="7">
        <v>10</v>
      </c>
    </row>
    <row r="12" spans="1:22" ht="18" x14ac:dyDescent="0.2">
      <c r="C12" s="21">
        <v>0.2</v>
      </c>
      <c r="D12" s="22">
        <f>'افزایش حقوق 1401'!C10-('1400'!T25+'1400'!T26)</f>
        <v>35000000</v>
      </c>
      <c r="E12" s="54"/>
      <c r="Q12" s="7" t="s">
        <v>58</v>
      </c>
      <c r="R12" s="19">
        <f>R11*1.5</f>
        <v>1822.5</v>
      </c>
      <c r="S12" s="19">
        <f>S11*1.5</f>
        <v>420</v>
      </c>
      <c r="T12" s="19"/>
      <c r="U12" s="19"/>
    </row>
    <row r="13" spans="1:22" x14ac:dyDescent="0.2">
      <c r="C13" s="23">
        <v>0.25</v>
      </c>
      <c r="Q13" s="7" t="s">
        <v>60</v>
      </c>
      <c r="R13" s="6">
        <f>R12*U10</f>
        <v>6110478</v>
      </c>
      <c r="S13" s="6">
        <f>S12*U10</f>
        <v>1408176</v>
      </c>
      <c r="T13" s="19">
        <f>IF('افزایش حقوق 1401'!C5='1400'!R2,S13,R13)</f>
        <v>6110478</v>
      </c>
      <c r="U13" s="19"/>
    </row>
    <row r="14" spans="1:22" x14ac:dyDescent="0.2">
      <c r="Q14" s="7" t="s">
        <v>61</v>
      </c>
      <c r="R14" s="19">
        <f>R11*U9</f>
        <v>3703320</v>
      </c>
      <c r="S14" s="19">
        <f>S11*U9</f>
        <v>853440</v>
      </c>
      <c r="T14" s="19">
        <f>IF('افزایش حقوق 1401'!C5='1400'!R2,S14,R14)</f>
        <v>3703320</v>
      </c>
      <c r="U14" s="19"/>
    </row>
    <row r="15" spans="1:22" x14ac:dyDescent="0.2">
      <c r="Q15" s="7" t="s">
        <v>56</v>
      </c>
      <c r="R15" s="48">
        <f>R11*0.5*3048*1.1</f>
        <v>2036826.0000000002</v>
      </c>
      <c r="S15" s="48">
        <f>S11*0.5*3048*1.1</f>
        <v>469392.00000000006</v>
      </c>
      <c r="T15" s="89">
        <f>IF('افزایش حقوق 1401'!C5='1400'!R2,S15,R15)</f>
        <v>2036826.0000000002</v>
      </c>
      <c r="U15" s="19"/>
    </row>
    <row r="16" spans="1:22" x14ac:dyDescent="0.2">
      <c r="R16" s="19"/>
      <c r="S16" s="19"/>
      <c r="T16" s="19"/>
      <c r="U16" s="19"/>
    </row>
    <row r="17" spans="2:21" x14ac:dyDescent="0.2">
      <c r="R17" s="19" t="s">
        <v>54</v>
      </c>
      <c r="S17" s="19" t="s">
        <v>55</v>
      </c>
      <c r="T17" s="19"/>
      <c r="U17" s="19"/>
    </row>
    <row r="18" spans="2:21" ht="15.75" thickBot="1" x14ac:dyDescent="0.25">
      <c r="Q18" s="7" t="s">
        <v>59</v>
      </c>
      <c r="R18" s="19">
        <v>315</v>
      </c>
      <c r="S18" s="19">
        <v>56</v>
      </c>
      <c r="T18" s="19"/>
      <c r="U18" s="19"/>
    </row>
    <row r="19" spans="2:21" ht="18" x14ac:dyDescent="0.2">
      <c r="B19" s="1" t="s">
        <v>0</v>
      </c>
      <c r="C19" s="24">
        <f>IF(('1400'!E12&lt;27500001),'1400'!E12,27500000)</f>
        <v>0</v>
      </c>
      <c r="D19" s="24"/>
      <c r="E19" s="25"/>
      <c r="I19" s="46">
        <v>0</v>
      </c>
      <c r="J19" s="59" t="s">
        <v>0</v>
      </c>
      <c r="K19" s="2">
        <f>IF(L30&lt;56000000,L30,56000000)</f>
        <v>56000000</v>
      </c>
      <c r="L19" s="32">
        <f>K19</f>
        <v>56000000</v>
      </c>
      <c r="M19" s="4"/>
      <c r="N19" s="5">
        <v>0</v>
      </c>
      <c r="O19" s="6">
        <f>L19*N19</f>
        <v>0</v>
      </c>
      <c r="Q19" s="7" t="s">
        <v>58</v>
      </c>
      <c r="R19" s="19">
        <f>R18*2</f>
        <v>630</v>
      </c>
      <c r="S19" s="19">
        <f>S18*2</f>
        <v>112</v>
      </c>
      <c r="T19" s="19"/>
      <c r="U19" s="19"/>
    </row>
    <row r="20" spans="2:21" ht="18" x14ac:dyDescent="0.2">
      <c r="B20" s="8" t="s">
        <v>7</v>
      </c>
      <c r="C20" s="26">
        <f>IF('1400'!E12&lt;27500001,0,'1400'!E12-27500000)</f>
        <v>0</v>
      </c>
      <c r="D20" s="26">
        <f>IF(C20&gt;41250000,41250000,C20)</f>
        <v>0</v>
      </c>
      <c r="E20" s="27">
        <f>IF(D20&gt;0,D20,0)</f>
        <v>0</v>
      </c>
      <c r="I20" s="46">
        <v>1</v>
      </c>
      <c r="J20" s="60" t="s">
        <v>42</v>
      </c>
      <c r="K20" s="9">
        <f>IF(L30&lt;56000001,0,L30-56000000)</f>
        <v>0</v>
      </c>
      <c r="L20" s="10">
        <f>IF(K20&gt;94000000,94000000,K20)</f>
        <v>0</v>
      </c>
      <c r="M20" s="11">
        <f>IF(L20&gt;0,L20,0)</f>
        <v>0</v>
      </c>
      <c r="N20" s="5">
        <v>0.1</v>
      </c>
      <c r="O20" s="6">
        <f>IF('[1]مالیات 1401'!L27="بلی",K20*N20,L20*N20)</f>
        <v>0</v>
      </c>
      <c r="R20" s="19"/>
      <c r="S20" s="19"/>
      <c r="T20" s="19"/>
      <c r="U20" s="19"/>
    </row>
    <row r="21" spans="2:21" ht="18" x14ac:dyDescent="0.2">
      <c r="B21" s="12" t="s">
        <v>8</v>
      </c>
      <c r="C21" s="26">
        <f>C20-D20</f>
        <v>0</v>
      </c>
      <c r="D21" s="26">
        <f>IF(C21&gt;27500000,27500000,C21)</f>
        <v>0</v>
      </c>
      <c r="E21" s="27">
        <f>IF(D21&gt;0,D21,0)</f>
        <v>0</v>
      </c>
      <c r="I21" s="46">
        <v>2</v>
      </c>
      <c r="J21" s="61" t="s">
        <v>43</v>
      </c>
      <c r="K21" s="9">
        <f>IF('[1]مالیات 1401'!L27="بلی",0,K20-L20)</f>
        <v>0</v>
      </c>
      <c r="L21" s="10">
        <f>IF(K21&gt;100000000,100000000,K21)</f>
        <v>0</v>
      </c>
      <c r="M21" s="11">
        <f>IF(L21&gt;0,L21,0)</f>
        <v>0</v>
      </c>
      <c r="N21" s="5">
        <v>0.15</v>
      </c>
      <c r="O21" s="6">
        <f>L21*N21</f>
        <v>0</v>
      </c>
      <c r="Q21" s="7" t="s">
        <v>60</v>
      </c>
      <c r="R21" s="6">
        <f>R19*U10</f>
        <v>2112264</v>
      </c>
      <c r="S21" s="6">
        <f>S19*U10</f>
        <v>375513.60000000003</v>
      </c>
      <c r="T21" s="6">
        <f>IF('افزایش حقوق 1401'!C5='1400'!R2,S21,R21)</f>
        <v>2112264</v>
      </c>
      <c r="U21" s="19"/>
    </row>
    <row r="22" spans="2:21" ht="18" x14ac:dyDescent="0.2">
      <c r="B22" s="8" t="s">
        <v>9</v>
      </c>
      <c r="C22" s="26">
        <f>C21-D21</f>
        <v>0</v>
      </c>
      <c r="D22" s="26">
        <f>IF(C22&gt;41250000,41250000,C22)</f>
        <v>0</v>
      </c>
      <c r="E22" s="27">
        <f>IF(D22&gt;0,D22,0)</f>
        <v>0</v>
      </c>
      <c r="I22" s="46">
        <v>3</v>
      </c>
      <c r="J22" s="60" t="s">
        <v>44</v>
      </c>
      <c r="K22" s="9">
        <f>IF('[1]مالیات 1401'!L28="بلی",0,K21-L21)</f>
        <v>0</v>
      </c>
      <c r="L22" s="10">
        <f>IF(K22&gt;100000000,100000000,K22)</f>
        <v>0</v>
      </c>
      <c r="M22" s="11">
        <f>IF(L22&gt;0,L22,0)</f>
        <v>0</v>
      </c>
      <c r="N22" s="5">
        <v>0.2</v>
      </c>
      <c r="O22" s="6">
        <f>L22*N22</f>
        <v>0</v>
      </c>
      <c r="Q22" s="7" t="s">
        <v>61</v>
      </c>
      <c r="R22" s="6">
        <f>R18*U9</f>
        <v>960120</v>
      </c>
      <c r="S22" s="6">
        <f>S18*U9</f>
        <v>170688</v>
      </c>
      <c r="T22" s="6">
        <f>IF('افزایش حقوق 1401'!C5='1400'!R2,S22,R22)</f>
        <v>960120</v>
      </c>
      <c r="U22" s="19"/>
    </row>
    <row r="23" spans="2:21" ht="18.75" thickBot="1" x14ac:dyDescent="0.25">
      <c r="B23" s="28" t="s">
        <v>10</v>
      </c>
      <c r="C23" s="29">
        <f>C22-D22</f>
        <v>0</v>
      </c>
      <c r="D23" s="26">
        <f>IF(C23&gt;55000000,55000000,C23)</f>
        <v>0</v>
      </c>
      <c r="E23" s="27">
        <f>IF(D23&gt;0,D23,0)</f>
        <v>0</v>
      </c>
      <c r="I23" s="46">
        <v>4</v>
      </c>
      <c r="J23" s="86" t="s">
        <v>45</v>
      </c>
      <c r="K23" s="9">
        <f>K22-L22</f>
        <v>0</v>
      </c>
      <c r="L23" s="10">
        <f>K23</f>
        <v>0</v>
      </c>
      <c r="M23" s="11">
        <f>IF(L23&gt;0,L23,0)</f>
        <v>0</v>
      </c>
      <c r="N23" s="5">
        <v>0.3</v>
      </c>
      <c r="O23" s="6">
        <f>L23*N23</f>
        <v>0</v>
      </c>
      <c r="Q23" s="7" t="s">
        <v>57</v>
      </c>
      <c r="R23" s="48">
        <f>R18*3048*1.1</f>
        <v>1056132</v>
      </c>
      <c r="S23" s="47">
        <f>S18*3048*1.1</f>
        <v>187756.80000000002</v>
      </c>
      <c r="T23" s="89">
        <f>IF('افزایش حقوق 1401'!C5='1400'!R2,S23,R23)</f>
        <v>1056132</v>
      </c>
      <c r="U23" s="19"/>
    </row>
    <row r="24" spans="2:21" ht="18.75" thickBot="1" x14ac:dyDescent="0.25">
      <c r="B24" s="14" t="s">
        <v>11</v>
      </c>
      <c r="C24" s="29">
        <f>C23-D23</f>
        <v>0</v>
      </c>
      <c r="D24" s="30"/>
      <c r="E24" s="30">
        <f>IF(C24&gt;0,C24,0)</f>
        <v>0</v>
      </c>
      <c r="I24" s="46">
        <v>5</v>
      </c>
      <c r="J24" s="86" t="s">
        <v>5</v>
      </c>
      <c r="K24" s="9">
        <f>K23-L23</f>
        <v>0</v>
      </c>
      <c r="L24" s="10">
        <f>K24</f>
        <v>0</v>
      </c>
      <c r="M24" s="11">
        <f>IF(L24&gt;0,L24,0)</f>
        <v>0</v>
      </c>
      <c r="N24" s="5">
        <v>0.3</v>
      </c>
      <c r="O24" s="6">
        <f>L24*N24</f>
        <v>0</v>
      </c>
      <c r="R24" s="19"/>
      <c r="S24" s="19" t="s">
        <v>62</v>
      </c>
      <c r="T24" s="19" t="s">
        <v>63</v>
      </c>
      <c r="U24" s="19" t="s">
        <v>64</v>
      </c>
    </row>
    <row r="25" spans="2:21" ht="18.75" thickBot="1" x14ac:dyDescent="0.25">
      <c r="I25" s="46">
        <v>6</v>
      </c>
      <c r="J25" s="14" t="s">
        <v>6</v>
      </c>
      <c r="K25" s="15">
        <f>K24-L24</f>
        <v>0</v>
      </c>
      <c r="L25" s="16">
        <f>K25</f>
        <v>0</v>
      </c>
      <c r="M25" s="17">
        <f>IF(K25&gt;0,K25,0)</f>
        <v>0</v>
      </c>
      <c r="N25" s="5">
        <v>0.35</v>
      </c>
      <c r="O25" s="6">
        <f>L25*N25</f>
        <v>0</v>
      </c>
      <c r="R25" s="90" t="s">
        <v>56</v>
      </c>
      <c r="S25" s="91">
        <f>IF('افزایش حقوق 1401'!C6='1400'!U1,T15,0)</f>
        <v>0</v>
      </c>
      <c r="T25" s="91">
        <f>IF('افزایش حقوق 1401'!C6='1400'!U1,T14,0)</f>
        <v>0</v>
      </c>
      <c r="U25" s="91">
        <f>IF('افزایش حقوق 1401'!C6='1400'!U1,T13,0)</f>
        <v>0</v>
      </c>
    </row>
    <row r="26" spans="2:21" ht="18" x14ac:dyDescent="0.2">
      <c r="C26" s="20">
        <v>0</v>
      </c>
      <c r="K26" s="18">
        <f>SUM(K19:K25)</f>
        <v>56000000</v>
      </c>
      <c r="L26" s="6">
        <f>SUM(L19:L25)</f>
        <v>56000000</v>
      </c>
      <c r="M26" s="6">
        <f>IF(K26&gt;0,K26,0)</f>
        <v>56000000</v>
      </c>
      <c r="O26" s="10">
        <f>SUM(O19:O25)</f>
        <v>0</v>
      </c>
      <c r="R26" s="90" t="s">
        <v>57</v>
      </c>
      <c r="S26" s="91">
        <f>'افزایش حقوق 1401'!C7*'1400'!T23</f>
        <v>0</v>
      </c>
      <c r="T26" s="91">
        <f>T22*'افزایش حقوق 1401'!C7</f>
        <v>0</v>
      </c>
      <c r="U26" s="91">
        <f>T21*'افزایش حقوق 1401'!C7</f>
        <v>0</v>
      </c>
    </row>
    <row r="27" spans="2:21" x14ac:dyDescent="0.2">
      <c r="C27" s="21">
        <v>0.1</v>
      </c>
      <c r="K27" s="20">
        <v>0</v>
      </c>
      <c r="R27" s="19"/>
      <c r="S27" s="19"/>
      <c r="T27" s="19"/>
      <c r="U27" s="19"/>
    </row>
    <row r="28" spans="2:21" x14ac:dyDescent="0.2">
      <c r="C28" s="20">
        <v>0.15</v>
      </c>
      <c r="K28" s="21">
        <v>0.1</v>
      </c>
    </row>
    <row r="29" spans="2:21" x14ac:dyDescent="0.2">
      <c r="C29" s="21">
        <v>0.2</v>
      </c>
      <c r="K29" s="20">
        <v>0.15</v>
      </c>
    </row>
    <row r="30" spans="2:21" ht="18" x14ac:dyDescent="0.2">
      <c r="C30" s="23">
        <v>0.25</v>
      </c>
      <c r="K30" s="21">
        <v>0.2</v>
      </c>
      <c r="L30" s="10">
        <f>'افزایش حقوق 1401'!C25</f>
        <v>56000000</v>
      </c>
      <c r="M30" s="54"/>
    </row>
    <row r="31" spans="2:21" x14ac:dyDescent="0.2">
      <c r="C31" s="23">
        <v>0.35</v>
      </c>
      <c r="K31" s="23">
        <v>0.25</v>
      </c>
    </row>
    <row r="33" spans="2:19" ht="21.75" thickBot="1" x14ac:dyDescent="0.25">
      <c r="L33" s="88">
        <f>('افزایش حقوق 1401'!C4*1.1)+'1400'!S25+'1400'!S26</f>
        <v>0</v>
      </c>
    </row>
    <row r="34" spans="2:19" ht="18" x14ac:dyDescent="0.2">
      <c r="B34" s="31" t="s">
        <v>12</v>
      </c>
      <c r="C34" s="32">
        <f>IF(E12&lt;23000000,E12,23000000)</f>
        <v>0</v>
      </c>
      <c r="D34" s="3"/>
      <c r="E34" s="4"/>
    </row>
    <row r="35" spans="2:19" ht="18" x14ac:dyDescent="0.2">
      <c r="B35" s="33" t="s">
        <v>13</v>
      </c>
      <c r="C35" s="34">
        <f>IF('1400'!E12&lt;23000001,0,'1400'!E12-23000000)</f>
        <v>0</v>
      </c>
      <c r="D35" s="35">
        <f>IF(C35&gt;69000000,69000000,C35)</f>
        <v>0</v>
      </c>
      <c r="E35" s="36">
        <f>IF(D35&gt;0,D35,0)</f>
        <v>0</v>
      </c>
    </row>
    <row r="36" spans="2:19" ht="18" x14ac:dyDescent="0.2">
      <c r="B36" s="37" t="s">
        <v>14</v>
      </c>
      <c r="C36" s="34">
        <f>C35-D35</f>
        <v>0</v>
      </c>
      <c r="D36" s="35">
        <f>IF(C36&gt;23000000,23000000,C36)</f>
        <v>0</v>
      </c>
      <c r="E36" s="36">
        <f>IF(D36&gt;0,D36,0)</f>
        <v>0</v>
      </c>
    </row>
    <row r="37" spans="2:19" ht="18" x14ac:dyDescent="0.2">
      <c r="B37" s="33" t="s">
        <v>15</v>
      </c>
      <c r="C37" s="34">
        <f>C36-D36</f>
        <v>0</v>
      </c>
      <c r="D37" s="35">
        <f>IF(C37&gt;46000000,46000000,C37)</f>
        <v>0</v>
      </c>
      <c r="E37" s="36">
        <f>IF(D37&gt;0,D37,0)</f>
        <v>0</v>
      </c>
    </row>
    <row r="38" spans="2:19" ht="18.75" thickBot="1" x14ac:dyDescent="0.25">
      <c r="B38" s="38" t="s">
        <v>16</v>
      </c>
      <c r="C38" s="15">
        <f>C37-D37</f>
        <v>0</v>
      </c>
      <c r="D38" s="39"/>
      <c r="E38" s="40">
        <f>IF(C38&gt;0,C38,0)</f>
        <v>0</v>
      </c>
    </row>
    <row r="40" spans="2:19" x14ac:dyDescent="0.2">
      <c r="C40" s="20">
        <v>0</v>
      </c>
    </row>
    <row r="41" spans="2:19" x14ac:dyDescent="0.2">
      <c r="C41" s="21">
        <v>0.1</v>
      </c>
    </row>
    <row r="42" spans="2:19" x14ac:dyDescent="0.2">
      <c r="C42" s="20">
        <v>0.15</v>
      </c>
    </row>
    <row r="43" spans="2:19" x14ac:dyDescent="0.2">
      <c r="C43" s="21">
        <v>0.25</v>
      </c>
    </row>
    <row r="44" spans="2:19" x14ac:dyDescent="0.2">
      <c r="C44" s="23">
        <v>0.35</v>
      </c>
    </row>
    <row r="46" spans="2:19" ht="15.75" thickBot="1" x14ac:dyDescent="0.25"/>
    <row r="47" spans="2:19" ht="15.75" thickBot="1" x14ac:dyDescent="0.25">
      <c r="B47" s="41"/>
      <c r="C47" s="42">
        <v>1398</v>
      </c>
      <c r="D47" s="42">
        <v>1397</v>
      </c>
      <c r="E47" s="42">
        <v>1399</v>
      </c>
      <c r="G47" s="43"/>
      <c r="H47" s="44">
        <v>1398</v>
      </c>
      <c r="I47" s="44">
        <v>1397</v>
      </c>
      <c r="J47" s="44">
        <v>1399</v>
      </c>
      <c r="L47" s="45"/>
      <c r="M47" s="46">
        <v>98</v>
      </c>
      <c r="N47" s="46">
        <v>97</v>
      </c>
      <c r="O47" s="46">
        <v>99</v>
      </c>
      <c r="P47" s="47"/>
      <c r="Q47" s="47">
        <v>1398</v>
      </c>
      <c r="R47" s="47">
        <v>1397</v>
      </c>
      <c r="S47" s="47">
        <v>1399</v>
      </c>
    </row>
    <row r="48" spans="2:19" ht="18.75" thickBot="1" x14ac:dyDescent="0.25">
      <c r="B48" s="48">
        <f>G48*1000000</f>
        <v>23000000</v>
      </c>
      <c r="C48" s="48"/>
      <c r="D48" s="48">
        <f>I48*1000000</f>
        <v>0</v>
      </c>
      <c r="E48" s="48">
        <f>J48*1000000</f>
        <v>0</v>
      </c>
      <c r="G48" s="49">
        <v>23</v>
      </c>
      <c r="H48" s="50"/>
      <c r="I48" s="50">
        <v>0</v>
      </c>
      <c r="J48" s="50"/>
      <c r="L48" s="51">
        <v>23000000</v>
      </c>
      <c r="M48" s="46"/>
      <c r="N48" s="46">
        <v>1</v>
      </c>
      <c r="O48" s="46"/>
      <c r="P48" s="47">
        <f t="shared" ref="P48:Q63" si="5">L48/1000000</f>
        <v>23</v>
      </c>
      <c r="Q48" s="47"/>
      <c r="R48" s="47"/>
      <c r="S48" s="47"/>
    </row>
    <row r="49" spans="2:21" ht="18.75" thickBot="1" x14ac:dyDescent="0.25">
      <c r="B49" s="48">
        <f t="shared" ref="B49:C68" si="6">G49*1000000</f>
        <v>24000000</v>
      </c>
      <c r="C49" s="48"/>
      <c r="D49" s="48">
        <f t="shared" ref="D49:E68" si="7">I49*1000000</f>
        <v>100000</v>
      </c>
      <c r="E49" s="48">
        <f t="shared" si="7"/>
        <v>0</v>
      </c>
      <c r="G49" s="49">
        <v>24</v>
      </c>
      <c r="H49" s="50"/>
      <c r="I49" s="50">
        <v>0.1</v>
      </c>
      <c r="J49" s="50"/>
      <c r="L49" s="51">
        <v>25000000</v>
      </c>
      <c r="M49" s="46"/>
      <c r="N49" s="46">
        <v>200000</v>
      </c>
      <c r="O49" s="46"/>
      <c r="P49" s="47">
        <f t="shared" si="5"/>
        <v>25</v>
      </c>
      <c r="Q49" s="47"/>
      <c r="R49" s="47">
        <f t="shared" ref="R49:S63" si="8">N49/1000000</f>
        <v>0.2</v>
      </c>
      <c r="S49" s="47"/>
    </row>
    <row r="50" spans="2:21" ht="18.75" thickBot="1" x14ac:dyDescent="0.25">
      <c r="B50" s="48">
        <f t="shared" si="6"/>
        <v>27000000</v>
      </c>
      <c r="C50" s="48">
        <f t="shared" si="6"/>
        <v>0</v>
      </c>
      <c r="D50" s="48">
        <f t="shared" si="7"/>
        <v>400000</v>
      </c>
      <c r="E50" s="48">
        <f t="shared" si="7"/>
        <v>0</v>
      </c>
      <c r="G50" s="49">
        <v>27</v>
      </c>
      <c r="H50" s="50">
        <v>0</v>
      </c>
      <c r="I50" s="50">
        <v>0.4</v>
      </c>
      <c r="J50" s="50"/>
      <c r="L50" s="51">
        <v>27000000</v>
      </c>
      <c r="M50" s="46">
        <v>1</v>
      </c>
      <c r="N50" s="46">
        <v>400000</v>
      </c>
      <c r="O50" s="46"/>
      <c r="P50" s="47">
        <f t="shared" si="5"/>
        <v>27</v>
      </c>
      <c r="Q50" s="47"/>
      <c r="R50" s="47">
        <f t="shared" si="8"/>
        <v>0.4</v>
      </c>
      <c r="S50" s="47"/>
    </row>
    <row r="51" spans="2:21" ht="18.75" thickBot="1" x14ac:dyDescent="0.25">
      <c r="B51" s="48"/>
      <c r="C51" s="48"/>
      <c r="D51" s="48"/>
      <c r="E51" s="48"/>
      <c r="G51" s="49"/>
      <c r="H51" s="50"/>
      <c r="I51" s="50"/>
      <c r="J51" s="50"/>
      <c r="L51" s="51">
        <v>30000000</v>
      </c>
      <c r="M51" s="46">
        <v>250000</v>
      </c>
      <c r="N51" s="46">
        <v>700000</v>
      </c>
      <c r="O51" s="46">
        <v>1</v>
      </c>
      <c r="P51" s="47">
        <f t="shared" si="5"/>
        <v>30</v>
      </c>
      <c r="Q51" s="47">
        <f t="shared" si="5"/>
        <v>0.25</v>
      </c>
      <c r="R51" s="47">
        <f t="shared" si="8"/>
        <v>0.7</v>
      </c>
      <c r="S51" s="47"/>
    </row>
    <row r="52" spans="2:21" ht="18.75" thickBot="1" x14ac:dyDescent="0.25">
      <c r="B52" s="48"/>
      <c r="C52" s="48"/>
      <c r="D52" s="48"/>
      <c r="E52" s="48"/>
      <c r="G52" s="49"/>
      <c r="H52" s="50"/>
      <c r="I52" s="50"/>
      <c r="J52" s="50"/>
      <c r="L52" s="51">
        <v>33000000</v>
      </c>
      <c r="M52" s="46">
        <v>550000</v>
      </c>
      <c r="N52" s="46">
        <v>1000000</v>
      </c>
      <c r="O52" s="46">
        <v>300000</v>
      </c>
      <c r="P52" s="47">
        <f t="shared" si="5"/>
        <v>33</v>
      </c>
      <c r="Q52" s="47">
        <f t="shared" si="5"/>
        <v>0.55000000000000004</v>
      </c>
      <c r="R52" s="47">
        <f t="shared" si="8"/>
        <v>1</v>
      </c>
      <c r="S52" s="47">
        <f t="shared" si="8"/>
        <v>0.3</v>
      </c>
    </row>
    <row r="53" spans="2:21" ht="18.75" thickBot="1" x14ac:dyDescent="0.25">
      <c r="B53" s="48">
        <f t="shared" si="6"/>
        <v>28000000</v>
      </c>
      <c r="C53" s="48">
        <f t="shared" si="6"/>
        <v>50000</v>
      </c>
      <c r="D53" s="48">
        <f t="shared" si="7"/>
        <v>500000</v>
      </c>
      <c r="E53" s="48">
        <f t="shared" si="7"/>
        <v>0</v>
      </c>
      <c r="G53" s="49">
        <v>28</v>
      </c>
      <c r="H53" s="50">
        <v>0.05</v>
      </c>
      <c r="I53" s="50">
        <v>0.5</v>
      </c>
      <c r="J53" s="50"/>
      <c r="L53" s="51">
        <v>68750000</v>
      </c>
      <c r="M53" s="46">
        <v>4125000</v>
      </c>
      <c r="N53" s="46">
        <v>4575000</v>
      </c>
      <c r="O53" s="46">
        <v>3875000</v>
      </c>
      <c r="P53" s="47">
        <f t="shared" si="5"/>
        <v>68.75</v>
      </c>
      <c r="Q53" s="47">
        <f t="shared" si="5"/>
        <v>4.125</v>
      </c>
      <c r="R53" s="47">
        <f t="shared" si="8"/>
        <v>4.5750000000000002</v>
      </c>
      <c r="S53" s="47">
        <f t="shared" si="8"/>
        <v>3.875</v>
      </c>
      <c r="U53" s="46"/>
    </row>
    <row r="54" spans="2:21" ht="18.75" thickBot="1" x14ac:dyDescent="0.25">
      <c r="B54" s="48">
        <f t="shared" si="6"/>
        <v>30000000</v>
      </c>
      <c r="C54" s="48">
        <f t="shared" si="6"/>
        <v>250000</v>
      </c>
      <c r="D54" s="48">
        <f t="shared" si="7"/>
        <v>700000</v>
      </c>
      <c r="E54" s="48">
        <f t="shared" si="7"/>
        <v>0</v>
      </c>
      <c r="G54" s="49">
        <v>30</v>
      </c>
      <c r="H54" s="50">
        <v>0.25</v>
      </c>
      <c r="I54" s="50">
        <v>0.7</v>
      </c>
      <c r="J54" s="50">
        <v>0</v>
      </c>
      <c r="L54" s="51">
        <v>77750000</v>
      </c>
      <c r="M54" s="46">
        <v>5475000</v>
      </c>
      <c r="N54" s="46">
        <v>5475000</v>
      </c>
      <c r="O54" s="46">
        <v>4912500</v>
      </c>
      <c r="P54" s="47">
        <f t="shared" si="5"/>
        <v>77.75</v>
      </c>
      <c r="Q54" s="47">
        <f t="shared" si="5"/>
        <v>5.4749999999999996</v>
      </c>
      <c r="R54" s="47">
        <f t="shared" si="8"/>
        <v>5.4749999999999996</v>
      </c>
      <c r="S54" s="47">
        <f t="shared" si="8"/>
        <v>4.9124999999999996</v>
      </c>
    </row>
    <row r="55" spans="2:21" ht="18.75" thickBot="1" x14ac:dyDescent="0.25">
      <c r="B55" s="48">
        <f t="shared" si="6"/>
        <v>35000000</v>
      </c>
      <c r="C55" s="48">
        <f t="shared" si="6"/>
        <v>750000</v>
      </c>
      <c r="D55" s="48">
        <f t="shared" si="7"/>
        <v>1200000</v>
      </c>
      <c r="E55" s="48">
        <f t="shared" si="7"/>
        <v>500000</v>
      </c>
      <c r="G55" s="49">
        <v>35</v>
      </c>
      <c r="H55" s="50">
        <v>0.75</v>
      </c>
      <c r="I55" s="50">
        <v>1.2</v>
      </c>
      <c r="J55" s="50">
        <v>0.5</v>
      </c>
      <c r="L55" s="51">
        <v>92000000</v>
      </c>
      <c r="M55" s="46">
        <v>7612500</v>
      </c>
      <c r="N55" s="46">
        <v>6900000</v>
      </c>
      <c r="O55" s="46">
        <v>7050000</v>
      </c>
      <c r="P55" s="47">
        <f t="shared" si="5"/>
        <v>92</v>
      </c>
      <c r="Q55" s="47">
        <f t="shared" si="5"/>
        <v>7.6124999999999998</v>
      </c>
      <c r="R55" s="47">
        <f t="shared" si="8"/>
        <v>6.9</v>
      </c>
      <c r="S55" s="47">
        <f t="shared" si="8"/>
        <v>7.05</v>
      </c>
    </row>
    <row r="56" spans="2:21" ht="18.75" thickBot="1" x14ac:dyDescent="0.25">
      <c r="B56" s="48">
        <f t="shared" si="6"/>
        <v>40000000</v>
      </c>
      <c r="C56" s="48">
        <f t="shared" si="6"/>
        <v>1250000</v>
      </c>
      <c r="D56" s="48">
        <f t="shared" si="7"/>
        <v>1700000</v>
      </c>
      <c r="E56" s="48">
        <f t="shared" si="7"/>
        <v>1000000</v>
      </c>
      <c r="G56" s="49">
        <v>40</v>
      </c>
      <c r="H56" s="50">
        <v>1.25</v>
      </c>
      <c r="I56" s="50">
        <v>1.7</v>
      </c>
      <c r="J56" s="50">
        <v>1</v>
      </c>
      <c r="L56" s="51">
        <v>96250000</v>
      </c>
      <c r="M56" s="46">
        <v>8250000</v>
      </c>
      <c r="N56" s="46">
        <v>7537500</v>
      </c>
      <c r="O56" s="46">
        <v>7687500</v>
      </c>
      <c r="P56" s="47">
        <f t="shared" si="5"/>
        <v>96.25</v>
      </c>
      <c r="Q56" s="47">
        <f t="shared" si="5"/>
        <v>8.25</v>
      </c>
      <c r="R56" s="47">
        <f t="shared" si="8"/>
        <v>7.5374999999999996</v>
      </c>
      <c r="S56" s="47">
        <f t="shared" si="8"/>
        <v>7.6875</v>
      </c>
    </row>
    <row r="57" spans="2:21" ht="18.75" thickBot="1" x14ac:dyDescent="0.25">
      <c r="B57" s="48">
        <f t="shared" si="6"/>
        <v>41250000</v>
      </c>
      <c r="C57" s="48">
        <f t="shared" si="6"/>
        <v>1375000</v>
      </c>
      <c r="D57" s="48">
        <f t="shared" si="7"/>
        <v>1822500</v>
      </c>
      <c r="E57" s="48">
        <f t="shared" si="7"/>
        <v>1000000</v>
      </c>
      <c r="G57" s="49">
        <v>41.25</v>
      </c>
      <c r="H57" s="50">
        <v>1.375</v>
      </c>
      <c r="I57" s="50">
        <v>1.8225</v>
      </c>
      <c r="J57" s="50">
        <v>1</v>
      </c>
      <c r="L57" s="51">
        <v>115000000</v>
      </c>
      <c r="M57" s="46">
        <v>12000000</v>
      </c>
      <c r="N57" s="46">
        <v>10350000</v>
      </c>
      <c r="O57" s="46">
        <v>11000000</v>
      </c>
      <c r="P57" s="47">
        <f t="shared" si="5"/>
        <v>115</v>
      </c>
      <c r="Q57" s="47">
        <f t="shared" si="5"/>
        <v>12</v>
      </c>
      <c r="R57" s="47">
        <f t="shared" si="8"/>
        <v>10.35</v>
      </c>
      <c r="S57" s="47">
        <f t="shared" si="8"/>
        <v>11</v>
      </c>
    </row>
    <row r="58" spans="2:21" ht="18.75" thickBot="1" x14ac:dyDescent="0.25">
      <c r="B58" s="48">
        <f t="shared" si="6"/>
        <v>45000000</v>
      </c>
      <c r="C58" s="48">
        <f t="shared" si="6"/>
        <v>1937500</v>
      </c>
      <c r="D58" s="48">
        <f t="shared" si="7"/>
        <v>2200000</v>
      </c>
      <c r="E58" s="48">
        <v>1500000</v>
      </c>
      <c r="G58" s="49">
        <v>45</v>
      </c>
      <c r="H58" s="50">
        <v>1.9375</v>
      </c>
      <c r="I58" s="50">
        <v>2.2000000000000002</v>
      </c>
      <c r="J58" s="52" t="s">
        <v>17</v>
      </c>
      <c r="L58" s="51">
        <v>137500000</v>
      </c>
      <c r="M58" s="46">
        <v>16500000</v>
      </c>
      <c r="N58" s="46">
        <v>15975000</v>
      </c>
      <c r="O58" s="46">
        <v>15500000</v>
      </c>
      <c r="P58" s="47">
        <f t="shared" si="5"/>
        <v>137.5</v>
      </c>
      <c r="Q58" s="47">
        <f t="shared" si="5"/>
        <v>16.5</v>
      </c>
      <c r="R58" s="47">
        <f t="shared" si="8"/>
        <v>15.975</v>
      </c>
      <c r="S58" s="47">
        <f t="shared" si="8"/>
        <v>15.5</v>
      </c>
    </row>
    <row r="59" spans="2:21" ht="18.75" thickBot="1" x14ac:dyDescent="0.25">
      <c r="B59" s="48">
        <f t="shared" si="6"/>
        <v>50000000</v>
      </c>
      <c r="C59" s="48">
        <f t="shared" si="6"/>
        <v>2687500</v>
      </c>
      <c r="D59" s="48">
        <f t="shared" si="7"/>
        <v>2700000</v>
      </c>
      <c r="E59" s="48">
        <f t="shared" si="7"/>
        <v>2000000</v>
      </c>
      <c r="G59" s="49">
        <v>50</v>
      </c>
      <c r="H59" s="50">
        <v>2.6875</v>
      </c>
      <c r="I59" s="50">
        <v>2.7</v>
      </c>
      <c r="J59" s="50">
        <v>2</v>
      </c>
      <c r="L59" s="51">
        <v>161000000</v>
      </c>
      <c r="M59" s="46">
        <v>22375000</v>
      </c>
      <c r="N59" s="46">
        <v>21850000</v>
      </c>
      <c r="O59" s="46">
        <v>20750000</v>
      </c>
      <c r="P59" s="47">
        <f t="shared" si="5"/>
        <v>161</v>
      </c>
      <c r="Q59" s="47">
        <f t="shared" si="5"/>
        <v>22.375</v>
      </c>
      <c r="R59" s="47">
        <f t="shared" si="8"/>
        <v>21.85</v>
      </c>
      <c r="S59" s="47">
        <f t="shared" si="8"/>
        <v>20.75</v>
      </c>
    </row>
    <row r="60" spans="2:21" ht="18.75" thickBot="1" x14ac:dyDescent="0.25">
      <c r="B60" s="48">
        <f t="shared" si="6"/>
        <v>55000000</v>
      </c>
      <c r="C60" s="48">
        <f t="shared" si="6"/>
        <v>3437500</v>
      </c>
      <c r="D60" s="48">
        <f t="shared" si="7"/>
        <v>3200000</v>
      </c>
      <c r="E60" s="48">
        <v>2500000</v>
      </c>
      <c r="G60" s="49">
        <v>55</v>
      </c>
      <c r="H60" s="50">
        <v>3.4375</v>
      </c>
      <c r="I60" s="50">
        <v>3.2</v>
      </c>
      <c r="J60" s="50" t="s">
        <v>18</v>
      </c>
      <c r="L60" s="51">
        <v>166250000</v>
      </c>
      <c r="M60" s="46">
        <v>23687500</v>
      </c>
      <c r="N60" s="46">
        <v>23687500</v>
      </c>
      <c r="O60" s="46">
        <v>22062500</v>
      </c>
      <c r="P60" s="47">
        <f t="shared" si="5"/>
        <v>166.25</v>
      </c>
      <c r="Q60" s="47">
        <f t="shared" si="5"/>
        <v>23.6875</v>
      </c>
      <c r="R60" s="47">
        <f t="shared" si="8"/>
        <v>23.6875</v>
      </c>
      <c r="S60" s="47">
        <f t="shared" si="8"/>
        <v>22.0625</v>
      </c>
    </row>
    <row r="61" spans="2:21" ht="18.75" thickBot="1" x14ac:dyDescent="0.25">
      <c r="B61" s="48">
        <f t="shared" si="6"/>
        <v>68750000</v>
      </c>
      <c r="C61" s="48">
        <f t="shared" si="6"/>
        <v>5500000</v>
      </c>
      <c r="D61" s="48">
        <f t="shared" si="7"/>
        <v>4575000</v>
      </c>
      <c r="E61" s="48">
        <v>3900000</v>
      </c>
      <c r="G61" s="49">
        <v>68.75</v>
      </c>
      <c r="H61" s="50">
        <v>5.5</v>
      </c>
      <c r="I61" s="50">
        <v>4.5750000000000002</v>
      </c>
      <c r="J61" s="50" t="s">
        <v>19</v>
      </c>
      <c r="L61" s="51">
        <v>192500000</v>
      </c>
      <c r="M61" s="46">
        <v>30250000</v>
      </c>
      <c r="N61" s="46">
        <v>32875000</v>
      </c>
      <c r="O61" s="46">
        <v>28625000</v>
      </c>
      <c r="P61" s="47">
        <f t="shared" si="5"/>
        <v>192.5</v>
      </c>
      <c r="Q61" s="47">
        <f t="shared" si="5"/>
        <v>30.25</v>
      </c>
      <c r="R61" s="47">
        <f t="shared" si="8"/>
        <v>32.875</v>
      </c>
      <c r="S61" s="47">
        <f t="shared" si="8"/>
        <v>28.625</v>
      </c>
    </row>
    <row r="62" spans="2:21" ht="18.75" thickBot="1" x14ac:dyDescent="0.25">
      <c r="B62" s="48">
        <f t="shared" si="6"/>
        <v>92000000</v>
      </c>
      <c r="C62" s="48">
        <f t="shared" si="6"/>
        <v>10150000</v>
      </c>
      <c r="D62" s="48">
        <f t="shared" si="7"/>
        <v>6900000</v>
      </c>
      <c r="E62" s="48">
        <v>70500000</v>
      </c>
      <c r="G62" s="49">
        <v>92</v>
      </c>
      <c r="H62" s="50">
        <v>10.15</v>
      </c>
      <c r="I62" s="50">
        <v>6.9</v>
      </c>
      <c r="J62" s="50" t="s">
        <v>20</v>
      </c>
      <c r="L62" s="51">
        <v>210000000</v>
      </c>
      <c r="M62" s="46">
        <v>36375000</v>
      </c>
      <c r="N62" s="46">
        <v>39000000</v>
      </c>
      <c r="O62" s="46">
        <v>33000000</v>
      </c>
      <c r="P62" s="47">
        <f t="shared" si="5"/>
        <v>210</v>
      </c>
      <c r="Q62" s="47">
        <f t="shared" si="5"/>
        <v>36.375</v>
      </c>
      <c r="R62" s="47">
        <f t="shared" si="8"/>
        <v>39</v>
      </c>
      <c r="S62" s="47">
        <f t="shared" si="8"/>
        <v>33</v>
      </c>
    </row>
    <row r="63" spans="2:21" ht="18.75" thickBot="1" x14ac:dyDescent="0.25">
      <c r="B63" s="48">
        <f t="shared" si="6"/>
        <v>110000000</v>
      </c>
      <c r="C63" s="48">
        <f t="shared" si="6"/>
        <v>13750000</v>
      </c>
      <c r="D63" s="48">
        <f t="shared" si="7"/>
        <v>9600000</v>
      </c>
      <c r="E63" s="48">
        <f t="shared" si="7"/>
        <v>10000000</v>
      </c>
      <c r="G63" s="49">
        <v>110</v>
      </c>
      <c r="H63" s="50">
        <v>13.75</v>
      </c>
      <c r="I63" s="50">
        <v>9.6</v>
      </c>
      <c r="J63" s="50">
        <v>10</v>
      </c>
      <c r="L63" s="51">
        <v>230000000</v>
      </c>
      <c r="M63" s="46">
        <v>43375000</v>
      </c>
      <c r="N63" s="46">
        <v>46000000</v>
      </c>
      <c r="O63" s="46">
        <v>38000000</v>
      </c>
      <c r="P63" s="47">
        <f t="shared" si="5"/>
        <v>230</v>
      </c>
      <c r="Q63" s="47">
        <f t="shared" si="5"/>
        <v>43.375</v>
      </c>
      <c r="R63" s="47">
        <f t="shared" si="8"/>
        <v>46</v>
      </c>
      <c r="S63" s="47">
        <f t="shared" si="8"/>
        <v>38</v>
      </c>
    </row>
    <row r="64" spans="2:21" ht="18.75" thickBot="1" x14ac:dyDescent="0.25">
      <c r="B64" s="48">
        <f t="shared" si="6"/>
        <v>115000000</v>
      </c>
      <c r="C64" s="48">
        <f t="shared" si="6"/>
        <v>15000000</v>
      </c>
      <c r="D64" s="48">
        <f t="shared" si="7"/>
        <v>10350000</v>
      </c>
      <c r="E64" s="48">
        <f t="shared" si="7"/>
        <v>11000000</v>
      </c>
      <c r="G64" s="49">
        <v>115</v>
      </c>
      <c r="H64" s="50">
        <v>15</v>
      </c>
      <c r="I64" s="50">
        <v>10.35</v>
      </c>
      <c r="J64" s="50">
        <v>11</v>
      </c>
    </row>
    <row r="65" spans="2:16" ht="18.75" thickBot="1" x14ac:dyDescent="0.25">
      <c r="B65" s="48">
        <f t="shared" si="6"/>
        <v>161000000</v>
      </c>
      <c r="C65" s="48">
        <f t="shared" si="6"/>
        <v>26500000</v>
      </c>
      <c r="D65" s="48">
        <f t="shared" si="7"/>
        <v>21850000</v>
      </c>
      <c r="E65" s="48">
        <v>20750000</v>
      </c>
      <c r="G65" s="49">
        <v>161</v>
      </c>
      <c r="H65" s="50">
        <v>26.5</v>
      </c>
      <c r="I65" s="50">
        <v>21.85</v>
      </c>
      <c r="J65" s="50" t="s">
        <v>21</v>
      </c>
    </row>
    <row r="66" spans="2:16" ht="18.75" thickBot="1" x14ac:dyDescent="0.25">
      <c r="B66" s="48">
        <f t="shared" si="6"/>
        <v>165000000</v>
      </c>
      <c r="C66" s="48">
        <f t="shared" si="6"/>
        <v>27500000</v>
      </c>
      <c r="D66" s="48">
        <f t="shared" si="7"/>
        <v>23250000</v>
      </c>
      <c r="E66" s="48">
        <v>21750000</v>
      </c>
      <c r="G66" s="49">
        <v>165</v>
      </c>
      <c r="H66" s="50">
        <v>27.5</v>
      </c>
      <c r="I66" s="50">
        <v>23.25</v>
      </c>
      <c r="J66" s="50" t="s">
        <v>22</v>
      </c>
    </row>
    <row r="67" spans="2:16" ht="18.75" thickBot="1" x14ac:dyDescent="0.25">
      <c r="B67" s="48">
        <f t="shared" si="6"/>
        <v>180000000</v>
      </c>
      <c r="C67" s="48">
        <f t="shared" si="6"/>
        <v>32750000</v>
      </c>
      <c r="D67" s="48">
        <f t="shared" si="7"/>
        <v>28500000</v>
      </c>
      <c r="E67" s="48">
        <v>25500000</v>
      </c>
      <c r="G67" s="49">
        <v>180</v>
      </c>
      <c r="H67" s="50">
        <v>32.75</v>
      </c>
      <c r="I67" s="50">
        <v>28.5</v>
      </c>
      <c r="J67" s="50" t="s">
        <v>23</v>
      </c>
    </row>
    <row r="68" spans="2:16" ht="18.75" thickBot="1" x14ac:dyDescent="0.25">
      <c r="B68" s="48">
        <f t="shared" si="6"/>
        <v>230000000</v>
      </c>
      <c r="C68" s="48">
        <f t="shared" si="6"/>
        <v>50250000</v>
      </c>
      <c r="D68" s="48">
        <f t="shared" si="7"/>
        <v>46000000</v>
      </c>
      <c r="E68" s="48">
        <f t="shared" si="7"/>
        <v>38000000</v>
      </c>
      <c r="G68" s="49">
        <v>230</v>
      </c>
      <c r="H68" s="50">
        <v>50.25</v>
      </c>
      <c r="I68" s="50">
        <v>46</v>
      </c>
      <c r="J68" s="50">
        <v>38</v>
      </c>
    </row>
    <row r="73" spans="2:16" ht="12" customHeight="1" x14ac:dyDescent="0.2"/>
    <row r="74" spans="2:16" ht="41.25" customHeight="1" x14ac:dyDescent="0.2">
      <c r="B74" s="177" t="s">
        <v>24</v>
      </c>
      <c r="C74" s="177"/>
      <c r="D74" s="177"/>
      <c r="E74" s="177"/>
      <c r="F74" s="177"/>
      <c r="G74" s="177"/>
      <c r="H74" s="177"/>
      <c r="I74" s="177"/>
      <c r="J74" s="177"/>
      <c r="K74" s="177"/>
      <c r="L74" s="177"/>
    </row>
    <row r="76" spans="2:16" ht="20.25" x14ac:dyDescent="0.2">
      <c r="B76" s="178" t="s">
        <v>25</v>
      </c>
      <c r="C76" s="178"/>
      <c r="D76" s="178"/>
      <c r="E76" s="178"/>
      <c r="F76" s="178"/>
      <c r="G76" s="178"/>
      <c r="H76" s="178"/>
      <c r="I76" s="178"/>
      <c r="J76" s="178"/>
      <c r="K76" s="178"/>
      <c r="L76" s="178"/>
      <c r="M76" s="178"/>
      <c r="N76" s="178"/>
      <c r="O76" s="178"/>
      <c r="P76" s="178"/>
    </row>
    <row r="78" spans="2:16" ht="20.25" x14ac:dyDescent="0.2">
      <c r="B78" s="178" t="s">
        <v>26</v>
      </c>
      <c r="C78" s="178"/>
      <c r="D78" s="178"/>
      <c r="E78" s="178"/>
      <c r="F78" s="178"/>
      <c r="G78" s="178"/>
      <c r="H78" s="178"/>
      <c r="I78" s="178"/>
      <c r="J78" s="178"/>
      <c r="K78" s="178"/>
      <c r="L78" s="178"/>
      <c r="M78" s="178"/>
      <c r="N78" s="178"/>
      <c r="O78" s="178"/>
      <c r="P78" s="178"/>
    </row>
    <row r="80" spans="2:16" ht="20.25" x14ac:dyDescent="0.2">
      <c r="B80" s="178" t="s">
        <v>27</v>
      </c>
      <c r="C80" s="178"/>
      <c r="D80" s="178"/>
      <c r="E80" s="178"/>
      <c r="F80" s="178"/>
      <c r="G80" s="178"/>
      <c r="H80" s="178"/>
      <c r="I80" s="178"/>
      <c r="J80" s="178"/>
      <c r="K80" s="178"/>
      <c r="L80" s="178"/>
      <c r="M80" s="178"/>
      <c r="N80" s="178"/>
      <c r="O80" s="178"/>
      <c r="P80" s="178"/>
    </row>
    <row r="81" spans="2:16" ht="20.25" x14ac:dyDescent="0.2">
      <c r="B81" s="178" t="s">
        <v>28</v>
      </c>
      <c r="C81" s="178"/>
      <c r="D81" s="178"/>
      <c r="E81" s="178"/>
      <c r="F81" s="178"/>
      <c r="G81" s="178"/>
      <c r="H81" s="178"/>
      <c r="I81" s="178"/>
      <c r="J81" s="178"/>
      <c r="K81" s="178"/>
      <c r="L81" s="178"/>
      <c r="M81" s="178"/>
      <c r="N81" s="178"/>
      <c r="O81" s="178"/>
      <c r="P81" s="178"/>
    </row>
    <row r="82" spans="2:16" x14ac:dyDescent="0.2">
      <c r="B82" s="53"/>
    </row>
  </sheetData>
  <mergeCells count="5">
    <mergeCell ref="B74:L74"/>
    <mergeCell ref="B76:P76"/>
    <mergeCell ref="B78:P78"/>
    <mergeCell ref="B80:P80"/>
    <mergeCell ref="B81:P8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افزایش حقوق 1401</vt:lpstr>
      <vt:lpstr>جداول مالیات</vt:lpstr>
      <vt:lpstr>افزایش حقوق 1401!Print_Area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Zhowan</dc:creator>
  <cp:lastModifiedBy>hashemi-pc</cp:lastModifiedBy>
  <cp:lastPrinted>2022-02-15T16:59:40Z</cp:lastPrinted>
  <dcterms:created xsi:type="dcterms:W3CDTF">2021-03-04T21:10:19Z</dcterms:created>
  <dcterms:modified xsi:type="dcterms:W3CDTF">2022-02-15T18:10:36Z</dcterms:modified>
</cp:coreProperties>
</file>